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C:\Users\werz\Desktop\temp\"/>
    </mc:Choice>
  </mc:AlternateContent>
  <xr:revisionPtr revIDLastSave="0" documentId="8_{B8F46C91-0913-4FC2-9AC8-F87747D8FCD5}" xr6:coauthVersionLast="47" xr6:coauthVersionMax="47" xr10:uidLastSave="{00000000-0000-0000-0000-000000000000}"/>
  <bookViews>
    <workbookView xWindow="-110" yWindow="-110" windowWidth="19420" windowHeight="10420" xr2:uid="{4E9A7C30-D7BF-4E9F-A529-66F6D4F8E2D1}"/>
  </bookViews>
  <sheets>
    <sheet name="Info" sheetId="8" r:id="rId1"/>
    <sheet name="HW_Embedded" sheetId="1" r:id="rId2"/>
    <sheet name="HW_Usephase" sheetId="4" r:id="rId3"/>
    <sheet name="HW_Benefit" sheetId="2" r:id="rId4"/>
    <sheet name="EBR" sheetId="3" r:id="rId5"/>
    <sheet name="platform_profile" sheetId="7" r:id="rId6"/>
    <sheet name="EI_Software" sheetId="6" r:id="rId7"/>
    <sheet name="Grafiken" sheetId="10" r:id="rId8"/>
    <sheet name="Kopiervorlage code" sheetId="9" r:id="rId9"/>
  </sheets>
  <definedNames>
    <definedName name="ADP_AssTest">HW_Embedded!$C$48</definedName>
    <definedName name="ADP_Chassis">HW_Embedded!$C$45</definedName>
    <definedName name="ADP_co">HW_Embedded!$C$132</definedName>
    <definedName name="ADP_CPU">HW_Embedded!$C$40</definedName>
    <definedName name="ADP_el">EI_Software!$D$91</definedName>
    <definedName name="ADP_GPU">HW_Embedded!$C$41</definedName>
    <definedName name="ADP_HDD">HW_Embedded!$C$46</definedName>
    <definedName name="ADP_me">HW_Embedded!$C$133</definedName>
    <definedName name="ADP_PCB">HW_Embedded!$C$44</definedName>
    <definedName name="ADP_Ports">HW_Embedded!$C$49</definedName>
    <definedName name="ADP_PSUetc">HW_Embedded!$C$47</definedName>
    <definedName name="ADP_RAM">HW_Embedded!$C$42</definedName>
    <definedName name="ADP_SSD">HW_Embedded!$C$43</definedName>
    <definedName name="ADP_st">HW_Embedded!$C$134</definedName>
    <definedName name="ADP_Sum">HW_Embedded!$C$50</definedName>
    <definedName name="ADP_tr">HW_Embedded!$C$135</definedName>
    <definedName name="CED_AssTest">HW_Embedded!$C$24</definedName>
    <definedName name="CED_Chassis">HW_Embedded!$C$21</definedName>
    <definedName name="CED_co">HW_Embedded!$C$122</definedName>
    <definedName name="CED_CPU">HW_Embedded!$C$16</definedName>
    <definedName name="CED_el">EI_Software!$D$89</definedName>
    <definedName name="CED_GPU">HW_Embedded!$C$17</definedName>
    <definedName name="CED_HDD">HW_Embedded!$C$22</definedName>
    <definedName name="CED_me">HW_Embedded!$C$123</definedName>
    <definedName name="CED_PCB">HW_Embedded!$C$20</definedName>
    <definedName name="CED_Ports">HW_Embedded!$C$25</definedName>
    <definedName name="CED_PSUetc">HW_Embedded!$C$23</definedName>
    <definedName name="CED_RAM">HW_Embedded!$C$18</definedName>
    <definedName name="CED_SSD">HW_Embedded!$C$19</definedName>
    <definedName name="CED_st">HW_Embedded!$C$124</definedName>
    <definedName name="CED_Sum">HW_Embedded!$C$26</definedName>
    <definedName name="CED_tr">HW_Embedded!$C$125</definedName>
    <definedName name="DBR_co_average">HW_Benefit!$C$26</definedName>
    <definedName name="DBR_CPU">HW_Benefit!$C$6</definedName>
    <definedName name="DBR_CPU_unit">HW_Benefit!$D$6</definedName>
    <definedName name="DBR_GPU">HW_Benefit!$C$7</definedName>
    <definedName name="DBR_GPU_unit">HW_Benefit!$D$7</definedName>
    <definedName name="DBR_me_average">HW_Benefit!$C$27</definedName>
    <definedName name="DBR_NW">HW_Benefit!$C$10</definedName>
    <definedName name="DBR_NW_unit">HW_Benefit!$D$10</definedName>
    <definedName name="DBR_RAM">HW_Benefit!$C$8</definedName>
    <definedName name="DBR_RAM_unit">HW_Benefit!$D$8</definedName>
    <definedName name="DBR_SSDHDD">HW_Benefit!$C$9</definedName>
    <definedName name="DBR_SSDHDD_unit">HW_Benefit!$D$9</definedName>
    <definedName name="DBR_st_average">HW_Benefit!$C$28</definedName>
    <definedName name="DBR_tr_average">HW_Benefit!$C$29</definedName>
    <definedName name="DW_co">HW_Benefit!$C$33</definedName>
    <definedName name="DW_me">HW_Benefit!$C$34</definedName>
    <definedName name="DW_st">HW_Benefit!$C$35</definedName>
    <definedName name="DW_SW_co">EI_Software!$C$34</definedName>
    <definedName name="DW_SW_me">EI_Software!$C$35</definedName>
    <definedName name="DW_SW_st">EI_Software!$C$36</definedName>
    <definedName name="DW_SW_tr">EI_Software!$C$37</definedName>
    <definedName name="DW_tr">HW_Benefit!$C$36</definedName>
    <definedName name="E_co">EI_Software!$C$77</definedName>
    <definedName name="E_me">EI_Software!$C$78</definedName>
    <definedName name="E_st">EI_Software!$C$79</definedName>
    <definedName name="E_tr">EI_Software!$C$80</definedName>
    <definedName name="EBR_ADP_co">EBR!$C$14</definedName>
    <definedName name="EBR_ADP_me">EBR!$C$15</definedName>
    <definedName name="EBR_ADP_st">EBR!$C$16</definedName>
    <definedName name="EBR_ADP_tr">EBR!$C$17</definedName>
    <definedName name="EBR_CED_co">EBR!$C$4</definedName>
    <definedName name="EBR_CED_me">EBR!$C$5</definedName>
    <definedName name="EBR_CED_st">EBR!$C$6</definedName>
    <definedName name="EBR_CED_tr">EBR!$C$7</definedName>
    <definedName name="EBR_GWP_co">EBR!$C$9</definedName>
    <definedName name="EBR_GWP_me">EBR!$C$10</definedName>
    <definedName name="EBR_GWP_st">EBR!$C$11</definedName>
    <definedName name="EBR_GWP_tr">EBR!$C$12</definedName>
    <definedName name="EBR_P_co">EBR!$C$48</definedName>
    <definedName name="EBR_P_me">EBR!$C$49</definedName>
    <definedName name="EBR_P_st">EBR!$C$50</definedName>
    <definedName name="EBR_P_tr">EBR!$C$51</definedName>
    <definedName name="EBR_TOX_co">EBR!$C$29</definedName>
    <definedName name="EBR_TOX_me">EBR!$C$30</definedName>
    <definedName name="EBR_TOX_st">EBR!$C$31</definedName>
    <definedName name="EBR_TOX_tr">EBR!$C$32</definedName>
    <definedName name="EBR_Water_co">EBR!$C$19</definedName>
    <definedName name="EBR_Water_me">EBR!$C$20</definedName>
    <definedName name="EBR_Water_st">EBR!$C$21</definedName>
    <definedName name="EBR_Water_tr">EBR!$C$22</definedName>
    <definedName name="EBR_WEEE_co">EBR!$C$24</definedName>
    <definedName name="EBR_WEEE_me">EBR!$C$25</definedName>
    <definedName name="EBR_WEEE_st">EBR!$C$26</definedName>
    <definedName name="EBR_WEEE_tr">EBR!$C$27</definedName>
    <definedName name="EF_ADP">EI_Software!$C$100</definedName>
    <definedName name="EF_CED">EI_Software!$C$98</definedName>
    <definedName name="EF_GWP">EI_Software!$C$99</definedName>
    <definedName name="EF_TOX">EI_Software!$C$103</definedName>
    <definedName name="EF_Water">EI_Software!$C$101</definedName>
    <definedName name="EF_WEEE">EI_Software!$C$102</definedName>
    <definedName name="EI_ADP">EI_Software!$C$176</definedName>
    <definedName name="EI_ADP_co">EI_Software!$C$152</definedName>
    <definedName name="EI_ADP_co_embedded">EI_Software!$C$53</definedName>
    <definedName name="EI_ADP_co_usephase">EI_Software!$C$119</definedName>
    <definedName name="EI_ADP_me">EI_Software!$C$153</definedName>
    <definedName name="EI_ADP_me_embedded">EI_Software!$C$54</definedName>
    <definedName name="EI_ADP_me_usephase">EI_Software!$C$120</definedName>
    <definedName name="EI_ADP_st">EI_Software!$C$154</definedName>
    <definedName name="EI_ADP_st_embedded">EI_Software!$C$55</definedName>
    <definedName name="EI_ADP_st_usephase">EI_Software!$C$121</definedName>
    <definedName name="EI_ADP_tr">EI_Software!$C$155</definedName>
    <definedName name="EI_ADP_tr_embedded">EI_Software!$C$56</definedName>
    <definedName name="EI_ADP_tr_usephase">EI_Software!$C$122</definedName>
    <definedName name="EI_CED">EI_Software!$C$174</definedName>
    <definedName name="EI_CED_co">EI_Software!$C$142</definedName>
    <definedName name="EI_CED_co_embedded">EI_Software!$C$43</definedName>
    <definedName name="EI_CED_co_usephase">EI_Software!$C$109</definedName>
    <definedName name="EI_CED_me">EI_Software!$C$143</definedName>
    <definedName name="EI_CED_me_embedded">EI_Software!$C$44</definedName>
    <definedName name="EI_CED_me_usephase">EI_Software!$C$110</definedName>
    <definedName name="EI_CED_st">EI_Software!$C$144</definedName>
    <definedName name="EI_CED_st_embedded">EI_Software!$C$45</definedName>
    <definedName name="EI_CED_st_usephase">EI_Software!$C$111</definedName>
    <definedName name="EI_CED_tr">EI_Software!$C$145</definedName>
    <definedName name="EI_CED_tr_embedded">EI_Software!$C$46</definedName>
    <definedName name="EI_CED_tr_usephase">EI_Software!$C$112</definedName>
    <definedName name="EI_GWP">EI_Software!$C$175</definedName>
    <definedName name="EI_GWP_co">EI_Software!$C$147</definedName>
    <definedName name="EI_GWP_co_embedded">EI_Software!$C$48</definedName>
    <definedName name="EI_GWP_co_usephase">EI_Software!$C$114</definedName>
    <definedName name="EI_GWP_me">EI_Software!$C$148</definedName>
    <definedName name="EI_GWP_me_embedded">EI_Software!$C$49</definedName>
    <definedName name="EI_GWP_me_usephase">EI_Software!$C$115</definedName>
    <definedName name="EI_GWP_st">EI_Software!$C$149</definedName>
    <definedName name="EI_GWP_st_embedded">EI_Software!$C$50</definedName>
    <definedName name="EI_GWP_st_usephase">EI_Software!$C$116</definedName>
    <definedName name="EI_GWP_tr">EI_Software!$C$150</definedName>
    <definedName name="EI_GWP_tr_embedded">EI_Software!$C$51</definedName>
    <definedName name="EI_GWP_tr_usephase">EI_Software!$C$117</definedName>
    <definedName name="EI_TOX">EI_Software!$C$179</definedName>
    <definedName name="EI_TOX_co">EI_Software!$C$167</definedName>
    <definedName name="EI_TOX_co_embedded">EI_Software!$C$68</definedName>
    <definedName name="EI_TOX_co_usephase">EI_Software!$C$134</definedName>
    <definedName name="EI_TOX_me">EI_Software!$C$168</definedName>
    <definedName name="EI_TOX_me_embedded">EI_Software!$C$69</definedName>
    <definedName name="EI_TOX_me_usephase">EI_Software!$C$135</definedName>
    <definedName name="EI_TOX_st">EI_Software!$C$169</definedName>
    <definedName name="EI_TOX_st_embedded">EI_Software!$C$70</definedName>
    <definedName name="EI_TOX_st_usephase">EI_Software!$C$136</definedName>
    <definedName name="EI_TOX_tr">EI_Software!$C$170</definedName>
    <definedName name="EI_TOX_tr_embedded">EI_Software!$C$71</definedName>
    <definedName name="EI_TOX_tr_usephase">EI_Software!$C$137</definedName>
    <definedName name="EI_Water">EI_Software!$C$177</definedName>
    <definedName name="EI_Water_co">EI_Software!$C$157</definedName>
    <definedName name="EI_Water_co_embedded">EI_Software!$C$58</definedName>
    <definedName name="EI_Water_co_usephase">EI_Software!$C$124</definedName>
    <definedName name="EI_Water_me">EI_Software!$C$158</definedName>
    <definedName name="EI_Water_me_embedded">EI_Software!$C$59</definedName>
    <definedName name="EI_Water_me_usephase">EI_Software!$C$125</definedName>
    <definedName name="EI_Water_st">EI_Software!$C$159</definedName>
    <definedName name="EI_Water_st_embedded">EI_Software!$C$60</definedName>
    <definedName name="EI_Water_st_usephase">EI_Software!$C$126</definedName>
    <definedName name="EI_Water_tr">EI_Software!$C$160</definedName>
    <definedName name="EI_Water_tr_embedded">EI_Software!$C$61</definedName>
    <definedName name="EI_Water_tr_usephase">EI_Software!$C$127</definedName>
    <definedName name="EI_WEEE">EI_Software!$C$178</definedName>
    <definedName name="EI_WEEE_co">EI_Software!$C$162</definedName>
    <definedName name="EI_WEEE_co_embedded">EI_Software!$C$63</definedName>
    <definedName name="EI_WEEE_co_usephase">EI_Software!$C$129</definedName>
    <definedName name="EI_WEEE_me">EI_Software!$C$163</definedName>
    <definedName name="EI_WEEE_me_embedded">EI_Software!$C$64</definedName>
    <definedName name="EI_WEEE_me_usephase">EI_Software!$C$130</definedName>
    <definedName name="EI_WEEE_st">EI_Software!$C$164</definedName>
    <definedName name="EI_WEEE_st_embedded">EI_Software!$C$65</definedName>
    <definedName name="EI_WEEE_st_usephase">EI_Software!$C$131</definedName>
    <definedName name="EI_WEEE_tr">EI_Software!$C$165</definedName>
    <definedName name="EI_WEEE_tr_embedded">EI_Software!$C$66</definedName>
    <definedName name="EI_WEEE_tr_usephase">EI_Software!$C$132</definedName>
    <definedName name="GWP_AssTest">HW_Embedded!$C$36</definedName>
    <definedName name="GWP_Chassis">HW_Embedded!$C$33</definedName>
    <definedName name="GWP_co">HW_Embedded!$C$127</definedName>
    <definedName name="GWP_CPU">HW_Embedded!$C$28</definedName>
    <definedName name="GWP_el">EI_Software!$D$90</definedName>
    <definedName name="GWP_GPU">HW_Embedded!$C$29</definedName>
    <definedName name="GWP_HDD">HW_Embedded!$C$34</definedName>
    <definedName name="GWP_me">HW_Embedded!$C$128</definedName>
    <definedName name="GWP_PCB">HW_Embedded!$C$32</definedName>
    <definedName name="GWP_Ports">HW_Embedded!$C$37</definedName>
    <definedName name="GWP_PSUetc">HW_Embedded!$C$35</definedName>
    <definedName name="GWP_RAM">HW_Embedded!$C$30</definedName>
    <definedName name="GWP_SSD">HW_Embedded!$C$31</definedName>
    <definedName name="GWP_st">HW_Embedded!$C$129</definedName>
    <definedName name="GWP_Sum">HW_Embedded!$C$38</definedName>
    <definedName name="GWP_tr">HW_Embedded!$C$130</definedName>
    <definedName name="Lifetime">HW_Benefit!$C$22</definedName>
    <definedName name="Load_av_SW_gross_CPU">EI_Software!$C$18</definedName>
    <definedName name="Load_av_SW_gross_GPU">EI_Software!$C$19</definedName>
    <definedName name="Load_av_SW_gross_NW">EI_Software!$C$22</definedName>
    <definedName name="Load_av_SW_gross_RAM">EI_Software!$C$20</definedName>
    <definedName name="Load_av_SW_gross_SSDHDD">EI_Software!$C$21</definedName>
    <definedName name="Load_av_SW_net_CPU">EI_Software!$C$26</definedName>
    <definedName name="Load_av_SW_net_GPU">EI_Software!$C$27</definedName>
    <definedName name="Load_av_SW_net_NW">EI_Software!$C$30</definedName>
    <definedName name="Load_av_SW_net_RAM">EI_Software!$C$28</definedName>
    <definedName name="Load_av_SW_net_SSDHDD">EI_Software!$C$29</definedName>
    <definedName name="Load_average_CPU">HW_Benefit!$C$14</definedName>
    <definedName name="Load_average_GPU">HW_Benefit!$C$15</definedName>
    <definedName name="Load_average_NW">HW_Benefit!$C$18</definedName>
    <definedName name="Load_average_RAM">HW_Benefit!$C$16</definedName>
    <definedName name="Load_average_SSDHDD">HW_Benefit!$C$17</definedName>
    <definedName name="Load_idle_CPU">EI_Software!$C$10</definedName>
    <definedName name="Load_idle_GPU">EI_Software!$C$11</definedName>
    <definedName name="Load_idle_NW">EI_Software!$C$14</definedName>
    <definedName name="Load_idle_RAM">EI_Software!$C$12</definedName>
    <definedName name="Load_idle_SSDHDD">EI_Software!$C$13</definedName>
    <definedName name="P_average_CPU">HW_Usephase!$C$8</definedName>
    <definedName name="P_average_GPU">HW_Usephase!$C$12</definedName>
    <definedName name="P_average_HDD">HW_Usephase!$C$24</definedName>
    <definedName name="P_average_NW">HW_Usephase!$C$28</definedName>
    <definedName name="P_average_RAM">HW_Usephase!$C$16</definedName>
    <definedName name="P_average_SSD">HW_Usephase!$C$20</definedName>
    <definedName name="P_average_total">HW_Usephase!$C$32</definedName>
    <definedName name="P_brutto_average_co">HW_Usephase!$C$53</definedName>
    <definedName name="P_brutto_average_CPU">HW_Usephase!$C$45</definedName>
    <definedName name="P_brutto_average_GPU">HW_Usephase!$C$46</definedName>
    <definedName name="P_brutto_average_HDD">HW_Usephase!$C$49</definedName>
    <definedName name="P_brutto_average_me">HW_Usephase!$C$54</definedName>
    <definedName name="P_brutto_average_NW">HW_Usephase!$C$50</definedName>
    <definedName name="P_brutto_average_RAM">HW_Usephase!$C$47</definedName>
    <definedName name="P_brutto_average_SSD">HW_Usephase!$C$48</definedName>
    <definedName name="P_brutto_average_st">HW_Usephase!$C$55</definedName>
    <definedName name="P_brutto_average_tr">HW_Usephase!$C$56</definedName>
    <definedName name="P_idle_CPU">HW_Usephase!$C$6</definedName>
    <definedName name="P_idle_GPU">HW_Usephase!$C$10</definedName>
    <definedName name="P_idle_HDD">HW_Usephase!$C$22</definedName>
    <definedName name="P_idle_NW">HW_Usephase!$C$26</definedName>
    <definedName name="P_idle_RAM">HW_Usephase!$C$14</definedName>
    <definedName name="P_idle_SSD">HW_Usephase!$C$18</definedName>
    <definedName name="P_idle_total">HW_Usephase!$C$30</definedName>
    <definedName name="P_max_CPU">HW_Usephase!$C$7</definedName>
    <definedName name="P_max_GPU">HW_Usephase!$C$11</definedName>
    <definedName name="P_max_HDD">HW_Usephase!$C$23</definedName>
    <definedName name="P_max_NW">HW_Usephase!$C$27</definedName>
    <definedName name="P_max_RAM">HW_Usephase!$C$15</definedName>
    <definedName name="P_max_SSD">HW_Usephase!$C$19</definedName>
    <definedName name="P_max_total">HW_Usephase!$C$31</definedName>
    <definedName name="Platform_ID">HW_Embedded!$C$8</definedName>
    <definedName name="SVHC_Score">HW_Embedded!$C$12</definedName>
    <definedName name="time_execution">EI_Software!$C$6</definedName>
    <definedName name="TOX_AssTest">HW_Embedded!$C$84</definedName>
    <definedName name="TOX_Chassis">HW_Embedded!$C$81</definedName>
    <definedName name="TOX_co">HW_Embedded!$C$147</definedName>
    <definedName name="TOX_CPU">HW_Embedded!$C$76</definedName>
    <definedName name="TOX_el">EI_Software!$D$94</definedName>
    <definedName name="TOX_GPU">HW_Embedded!$C$77</definedName>
    <definedName name="TOX_HDD">HW_Embedded!$C$82</definedName>
    <definedName name="TOX_me">HW_Embedded!$C$148</definedName>
    <definedName name="TOX_PCB">HW_Embedded!$C$80</definedName>
    <definedName name="TOX_Ports">HW_Embedded!$C$85</definedName>
    <definedName name="TOX_PSUetc">HW_Embedded!$C$83</definedName>
    <definedName name="TOX_RAM">HW_Embedded!$C$78</definedName>
    <definedName name="TOX_SSD">HW_Embedded!$C$79</definedName>
    <definedName name="TOX_st">HW_Embedded!$C$149</definedName>
    <definedName name="TOX_Sum">HW_Embedded!$C$86</definedName>
    <definedName name="TOX_tr">HW_Embedded!$C$150</definedName>
    <definedName name="Water_AssTest">HW_Embedded!$C$60</definedName>
    <definedName name="Water_Chassis">HW_Embedded!$C$57</definedName>
    <definedName name="Water_co">HW_Embedded!$C$137</definedName>
    <definedName name="Water_CPU">HW_Embedded!$C$52</definedName>
    <definedName name="Water_el">EI_Software!$D$92</definedName>
    <definedName name="Water_GPU">HW_Embedded!$C$53</definedName>
    <definedName name="Water_HDD">HW_Embedded!$C$58</definedName>
    <definedName name="Water_me">HW_Embedded!$C$138</definedName>
    <definedName name="Water_PCB">HW_Embedded!$C$56</definedName>
    <definedName name="Water_Ports">HW_Embedded!$C$61</definedName>
    <definedName name="Water_PSUetc">HW_Embedded!$C$59</definedName>
    <definedName name="Water_RAM">HW_Embedded!$C$54</definedName>
    <definedName name="Water_SSD">HW_Embedded!$C$55</definedName>
    <definedName name="Water_st">HW_Embedded!$C$139</definedName>
    <definedName name="Water_Sum">HW_Embedded!$C$62</definedName>
    <definedName name="Water_tr">HW_Embedded!$C$140</definedName>
    <definedName name="WEEE_AssTest">HW_Embedded!$C$72</definedName>
    <definedName name="WEEE_Chassis">HW_Embedded!$C$69</definedName>
    <definedName name="WEEE_co">HW_Embedded!$C$142</definedName>
    <definedName name="WEEE_CPU">HW_Embedded!$C$64</definedName>
    <definedName name="WEEE_el">EI_Software!$D$93</definedName>
    <definedName name="WEEE_GPU">HW_Embedded!$C$65</definedName>
    <definedName name="WEEE_HDD">HW_Embedded!$C$70</definedName>
    <definedName name="WEEE_me">HW_Embedded!$C$143</definedName>
    <definedName name="WEEE_PCB">HW_Embedded!$C$68</definedName>
    <definedName name="WEEE_Ports">HW_Embedded!$C$73</definedName>
    <definedName name="WEEE_PSUetc">HW_Embedded!$C$71</definedName>
    <definedName name="WEEE_RAM">HW_Embedded!$C$66</definedName>
    <definedName name="WEEE_SSD">HW_Embedded!$C$67</definedName>
    <definedName name="WEEE_st">HW_Embedded!$C$144</definedName>
    <definedName name="WEEE_Sum">HW_Embedded!$C$74</definedName>
    <definedName name="WEEE_tr">HW_Embedded!$C$145</definedName>
    <definedName name="z_ADP_compute">HW_Embedded!$C$100</definedName>
    <definedName name="z_ADP_memorize">HW_Embedded!$C$101</definedName>
    <definedName name="z_ADP_store">HW_Embedded!$C$102</definedName>
    <definedName name="z_ADP_transfer">HW_Embedded!$C$103</definedName>
    <definedName name="z_CED_compute">HW_Embedded!$C$90</definedName>
    <definedName name="z_CED_memorize">HW_Embedded!$C$91</definedName>
    <definedName name="z_CED_store">HW_Embedded!$C$92</definedName>
    <definedName name="z_CED_transfer">HW_Embedded!$C$93</definedName>
    <definedName name="z_CPU">HW_Usephase!$C$36</definedName>
    <definedName name="z_GPU">HW_Usephase!$C$37</definedName>
    <definedName name="z_GWP_compute">HW_Embedded!$C$95</definedName>
    <definedName name="z_GWP_memorize">HW_Embedded!$C$96</definedName>
    <definedName name="z_GWP_store">HW_Embedded!$C$97</definedName>
    <definedName name="z_GWP_transfer">HW_Embedded!$C$98</definedName>
    <definedName name="z_HDD">HW_Usephase!$C$40</definedName>
    <definedName name="z_NW">HW_Usephase!$C$41</definedName>
    <definedName name="z_RAM">HW_Usephase!$C$38</definedName>
    <definedName name="z_SSD">HW_Usephase!$C$39</definedName>
    <definedName name="z_TOX_compute">HW_Embedded!$C$115</definedName>
    <definedName name="z_TOX_memorize">HW_Embedded!$C$116</definedName>
    <definedName name="z_TOX_store">HW_Embedded!$C$117</definedName>
    <definedName name="z_TOX_transfer">HW_Embedded!$C$118</definedName>
    <definedName name="z_Water_compute">HW_Embedded!$C$105</definedName>
    <definedName name="z_Water_memorize">HW_Embedded!$C$106</definedName>
    <definedName name="z_Water_store">HW_Embedded!$C$107</definedName>
    <definedName name="z_Water_transfer">HW_Embedded!$C$108</definedName>
    <definedName name="z_WEEE_compute">HW_Embedded!$C$110</definedName>
    <definedName name="z_WEEE_memorize">HW_Embedded!$C$111</definedName>
    <definedName name="z_WEEE_store">HW_Embedded!$C$112</definedName>
    <definedName name="z_WEEE_transfer">HW_Embedded!$C$113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62" i="1" l="1"/>
  <c r="C161" i="1"/>
  <c r="C160" i="1"/>
  <c r="C159" i="1"/>
  <c r="C158" i="1"/>
  <c r="C157" i="1"/>
  <c r="C118" i="1"/>
  <c r="C117" i="1"/>
  <c r="C149" i="1" s="1"/>
  <c r="C116" i="1"/>
  <c r="C148" i="1" s="1"/>
  <c r="C115" i="1"/>
  <c r="C113" i="1"/>
  <c r="C112" i="1"/>
  <c r="C111" i="1"/>
  <c r="C110" i="1"/>
  <c r="C108" i="1"/>
  <c r="C107" i="1"/>
  <c r="C106" i="1"/>
  <c r="C105" i="1"/>
  <c r="C103" i="1"/>
  <c r="C102" i="1"/>
  <c r="C101" i="1"/>
  <c r="C100" i="1"/>
  <c r="C132" i="1" s="1"/>
  <c r="C98" i="1"/>
  <c r="C97" i="1"/>
  <c r="C129" i="1" s="1"/>
  <c r="C96" i="1"/>
  <c r="C128" i="1" s="1"/>
  <c r="C95" i="1"/>
  <c r="C93" i="1"/>
  <c r="C92" i="1"/>
  <c r="C91" i="1"/>
  <c r="C90" i="1"/>
  <c r="C122" i="1" s="1"/>
  <c r="C86" i="1"/>
  <c r="C147" i="1" s="1"/>
  <c r="C74" i="1"/>
  <c r="C145" i="1" s="1"/>
  <c r="C62" i="1"/>
  <c r="C137" i="1" s="1"/>
  <c r="C50" i="1"/>
  <c r="C135" i="1" s="1"/>
  <c r="C38" i="1"/>
  <c r="C127" i="1" s="1"/>
  <c r="C26" i="1"/>
  <c r="C125" i="1" s="1"/>
  <c r="H146" i="1"/>
  <c r="H141" i="1"/>
  <c r="H136" i="1"/>
  <c r="H131" i="1"/>
  <c r="H126" i="1"/>
  <c r="H114" i="1"/>
  <c r="H109" i="1"/>
  <c r="H104" i="1"/>
  <c r="H99" i="1"/>
  <c r="H94" i="1"/>
  <c r="H75" i="1"/>
  <c r="H63" i="1"/>
  <c r="I15" i="10"/>
  <c r="I14" i="10"/>
  <c r="I13" i="10"/>
  <c r="I12" i="10"/>
  <c r="I11" i="10"/>
  <c r="I10" i="10"/>
  <c r="I9" i="10"/>
  <c r="I8" i="10"/>
  <c r="I7" i="10"/>
  <c r="D14" i="10"/>
  <c r="D13" i="10"/>
  <c r="D12" i="10"/>
  <c r="D11" i="10"/>
  <c r="D10" i="10"/>
  <c r="D9" i="10"/>
  <c r="D8" i="10"/>
  <c r="D7" i="10"/>
  <c r="D6" i="10"/>
  <c r="H103" i="1"/>
  <c r="H105" i="1"/>
  <c r="H117" i="1"/>
  <c r="H137" i="1"/>
  <c r="H97" i="1"/>
  <c r="H100" i="1"/>
  <c r="H149" i="1"/>
  <c r="H125" i="1"/>
  <c r="H115" i="1"/>
  <c r="H122" i="1"/>
  <c r="H95" i="1"/>
  <c r="H93" i="1"/>
  <c r="H50" i="1"/>
  <c r="H86" i="1"/>
  <c r="H106" i="1"/>
  <c r="H38" i="1"/>
  <c r="H111" i="1"/>
  <c r="H129" i="1"/>
  <c r="H62" i="1"/>
  <c r="H107" i="1"/>
  <c r="H135" i="1"/>
  <c r="H92" i="1"/>
  <c r="H98" i="1"/>
  <c r="H148" i="1"/>
  <c r="H74" i="1"/>
  <c r="H102" i="1"/>
  <c r="H90" i="1"/>
  <c r="H132" i="1"/>
  <c r="H118" i="1"/>
  <c r="H145" i="1"/>
  <c r="H127" i="1"/>
  <c r="H147" i="1"/>
  <c r="H108" i="1"/>
  <c r="H96" i="1"/>
  <c r="H26" i="1"/>
  <c r="H113" i="1"/>
  <c r="H91" i="1"/>
  <c r="H110" i="1"/>
  <c r="H116" i="1"/>
  <c r="H128" i="1"/>
  <c r="H112" i="1"/>
  <c r="H101" i="1"/>
  <c r="C139" i="1" l="1"/>
  <c r="C130" i="1"/>
  <c r="C140" i="1"/>
  <c r="C150" i="1"/>
  <c r="C123" i="1"/>
  <c r="C133" i="1"/>
  <c r="C143" i="1"/>
  <c r="C142" i="1"/>
  <c r="C124" i="1"/>
  <c r="C134" i="1"/>
  <c r="C144" i="1"/>
  <c r="C138" i="1"/>
  <c r="H140" i="1"/>
  <c r="H150" i="1"/>
  <c r="H124" i="1"/>
  <c r="H143" i="1"/>
  <c r="H144" i="1"/>
  <c r="H123" i="1"/>
  <c r="H133" i="1"/>
  <c r="H142" i="1"/>
  <c r="H139" i="1"/>
  <c r="H130" i="1"/>
  <c r="H138" i="1"/>
  <c r="H134" i="1"/>
  <c r="H28" i="3" l="1"/>
  <c r="H23" i="3"/>
  <c r="H18" i="3"/>
  <c r="H13" i="3"/>
  <c r="H8" i="3"/>
  <c r="C41" i="4"/>
  <c r="C50" i="4" s="1"/>
  <c r="C56" i="4" s="1"/>
  <c r="C40" i="4"/>
  <c r="C49" i="4" s="1"/>
  <c r="C39" i="4"/>
  <c r="C38" i="4"/>
  <c r="C47" i="4" s="1"/>
  <c r="C54" i="4" s="1"/>
  <c r="C37" i="4"/>
  <c r="C36" i="4"/>
  <c r="C68" i="2"/>
  <c r="C36" i="2"/>
  <c r="C35" i="2"/>
  <c r="C34" i="2"/>
  <c r="C33" i="2"/>
  <c r="C29" i="2"/>
  <c r="C28" i="2"/>
  <c r="C27" i="2"/>
  <c r="C26" i="2"/>
  <c r="C48" i="4"/>
  <c r="C46" i="4"/>
  <c r="C45" i="4"/>
  <c r="C71" i="4"/>
  <c r="C68" i="4"/>
  <c r="C67" i="4"/>
  <c r="C66" i="4"/>
  <c r="C65" i="4"/>
  <c r="C64" i="4"/>
  <c r="C63" i="4"/>
  <c r="C69" i="4" s="1"/>
  <c r="C70" i="2"/>
  <c r="C66" i="2"/>
  <c r="C51" i="2"/>
  <c r="C49" i="2"/>
  <c r="C47" i="2"/>
  <c r="C45" i="2"/>
  <c r="C43" i="2"/>
  <c r="H6" i="2"/>
  <c r="A205" i="9" s="1"/>
  <c r="H19" i="6"/>
  <c r="H11" i="6"/>
  <c r="D37" i="6"/>
  <c r="D36" i="6"/>
  <c r="D35" i="6"/>
  <c r="D34" i="6"/>
  <c r="C30" i="6"/>
  <c r="C29" i="6"/>
  <c r="C28" i="6"/>
  <c r="C27" i="6"/>
  <c r="C26" i="6"/>
  <c r="H161" i="6"/>
  <c r="A421" i="9" s="1"/>
  <c r="H156" i="6"/>
  <c r="A416" i="9" s="1"/>
  <c r="H151" i="6"/>
  <c r="A411" i="9" s="1"/>
  <c r="H146" i="6"/>
  <c r="A406" i="9" s="1"/>
  <c r="H128" i="6"/>
  <c r="A388" i="9" s="1"/>
  <c r="H123" i="6"/>
  <c r="A383" i="9" s="1"/>
  <c r="H118" i="6"/>
  <c r="A378" i="9" s="1"/>
  <c r="H113" i="6"/>
  <c r="A373" i="9" s="1"/>
  <c r="H67" i="6"/>
  <c r="A339" i="9" s="1"/>
  <c r="H62" i="6"/>
  <c r="A334" i="9" s="1"/>
  <c r="H57" i="6"/>
  <c r="A329" i="9" s="1"/>
  <c r="H52" i="6"/>
  <c r="A324" i="9" s="1"/>
  <c r="H47" i="6"/>
  <c r="A319" i="9" s="1"/>
  <c r="C34" i="6"/>
  <c r="C6" i="6"/>
  <c r="C103" i="6"/>
  <c r="C102" i="6"/>
  <c r="C101" i="6"/>
  <c r="C100" i="6"/>
  <c r="C99" i="6"/>
  <c r="C98" i="6"/>
  <c r="A277" i="9"/>
  <c r="A279" i="9"/>
  <c r="A281" i="9"/>
  <c r="A287" i="9"/>
  <c r="A289" i="9"/>
  <c r="A295" i="9"/>
  <c r="A297" i="9"/>
  <c r="A303" i="9"/>
  <c r="A305" i="9"/>
  <c r="A310" i="9"/>
  <c r="A312" i="9"/>
  <c r="A313" i="9"/>
  <c r="A314" i="9"/>
  <c r="A344" i="9"/>
  <c r="A346" i="9"/>
  <c r="A347" i="9"/>
  <c r="A348" i="9"/>
  <c r="A353" i="9"/>
  <c r="A355" i="9"/>
  <c r="A357" i="9"/>
  <c r="A364" i="9"/>
  <c r="A365" i="9"/>
  <c r="A366" i="9"/>
  <c r="A367" i="9"/>
  <c r="A368" i="9"/>
  <c r="A393" i="9"/>
  <c r="A398" i="9"/>
  <c r="A400" i="9"/>
  <c r="A401" i="9"/>
  <c r="A426" i="9"/>
  <c r="A431" i="9"/>
  <c r="A433" i="9"/>
  <c r="H4" i="6"/>
  <c r="A276" i="9" s="1"/>
  <c r="A238" i="9"/>
  <c r="A268" i="9"/>
  <c r="A269" i="9"/>
  <c r="A270" i="9"/>
  <c r="A237" i="9"/>
  <c r="A204" i="9"/>
  <c r="A210" i="9"/>
  <c r="A211" i="9"/>
  <c r="A212" i="9"/>
  <c r="A218" i="9"/>
  <c r="A220" i="9"/>
  <c r="A222" i="9"/>
  <c r="A223" i="9"/>
  <c r="A224" i="9"/>
  <c r="A229" i="9"/>
  <c r="A231" i="9"/>
  <c r="A203" i="9"/>
  <c r="A150" i="9"/>
  <c r="A178" i="9"/>
  <c r="A179" i="9"/>
  <c r="A180" i="9"/>
  <c r="A187" i="9"/>
  <c r="A188" i="9"/>
  <c r="A189" i="9"/>
  <c r="A196" i="9"/>
  <c r="A197" i="9"/>
  <c r="A149" i="9"/>
  <c r="A84" i="9"/>
  <c r="A85" i="9"/>
  <c r="A86" i="9"/>
  <c r="A116" i="9"/>
  <c r="A117" i="9"/>
  <c r="A118" i="9"/>
  <c r="A4" i="9"/>
  <c r="A6" i="9"/>
  <c r="A7" i="9"/>
  <c r="A8" i="9"/>
  <c r="A10" i="9"/>
  <c r="A11" i="9"/>
  <c r="A12" i="9"/>
  <c r="A3" i="9"/>
  <c r="E6" i="6"/>
  <c r="H12" i="6"/>
  <c r="A284" i="9" s="1"/>
  <c r="H172" i="6"/>
  <c r="A432" i="9" s="1"/>
  <c r="H139" i="6"/>
  <c r="A399" i="9" s="1"/>
  <c r="H105" i="6"/>
  <c r="H96" i="6"/>
  <c r="A356" i="9" s="1"/>
  <c r="H82" i="6"/>
  <c r="A354" i="9" s="1"/>
  <c r="H73" i="6"/>
  <c r="A345" i="9" s="1"/>
  <c r="H39" i="6"/>
  <c r="A311" i="9" s="1"/>
  <c r="D179" i="6"/>
  <c r="D178" i="6"/>
  <c r="D177" i="6"/>
  <c r="D176" i="6"/>
  <c r="D175" i="6"/>
  <c r="D170" i="6"/>
  <c r="D169" i="6"/>
  <c r="D168" i="6"/>
  <c r="D167" i="6"/>
  <c r="D165" i="6"/>
  <c r="D164" i="6"/>
  <c r="D163" i="6"/>
  <c r="D162" i="6"/>
  <c r="D160" i="6"/>
  <c r="D159" i="6"/>
  <c r="D158" i="6"/>
  <c r="D157" i="6"/>
  <c r="D155" i="6"/>
  <c r="D154" i="6"/>
  <c r="D153" i="6"/>
  <c r="D152" i="6"/>
  <c r="D150" i="6"/>
  <c r="D149" i="6"/>
  <c r="D148" i="6"/>
  <c r="D147" i="6"/>
  <c r="D99" i="6"/>
  <c r="D100" i="6"/>
  <c r="D101" i="6"/>
  <c r="D102" i="6"/>
  <c r="D103" i="6"/>
  <c r="D98" i="6"/>
  <c r="D137" i="6"/>
  <c r="D136" i="6"/>
  <c r="D135" i="6"/>
  <c r="D134" i="6"/>
  <c r="D132" i="6"/>
  <c r="D131" i="6"/>
  <c r="D130" i="6"/>
  <c r="D129" i="6"/>
  <c r="D127" i="6"/>
  <c r="D126" i="6"/>
  <c r="D125" i="6"/>
  <c r="D124" i="6"/>
  <c r="D122" i="6"/>
  <c r="D121" i="6"/>
  <c r="D120" i="6"/>
  <c r="D119" i="6"/>
  <c r="D117" i="6"/>
  <c r="D116" i="6"/>
  <c r="D115" i="6"/>
  <c r="D114" i="6"/>
  <c r="D69" i="6"/>
  <c r="D70" i="6"/>
  <c r="D71" i="6"/>
  <c r="D68" i="6"/>
  <c r="D64" i="6"/>
  <c r="D65" i="6"/>
  <c r="D66" i="6"/>
  <c r="D63" i="6"/>
  <c r="D59" i="6"/>
  <c r="D60" i="6"/>
  <c r="D61" i="6"/>
  <c r="D58" i="6"/>
  <c r="D54" i="6"/>
  <c r="D55" i="6"/>
  <c r="D56" i="6"/>
  <c r="D53" i="6"/>
  <c r="D49" i="6"/>
  <c r="D50" i="6"/>
  <c r="D51" i="6"/>
  <c r="D48" i="6"/>
  <c r="H32" i="6"/>
  <c r="A304" i="9" s="1"/>
  <c r="H24" i="6"/>
  <c r="A296" i="9" s="1"/>
  <c r="H22" i="6"/>
  <c r="A294" i="9" s="1"/>
  <c r="H21" i="6"/>
  <c r="A293" i="9" s="1"/>
  <c r="H20" i="6"/>
  <c r="A292" i="9" s="1"/>
  <c r="A291" i="9"/>
  <c r="H18" i="6"/>
  <c r="A290" i="9" s="1"/>
  <c r="H16" i="6"/>
  <c r="A288" i="9" s="1"/>
  <c r="H14" i="6"/>
  <c r="A286" i="9" s="1"/>
  <c r="H13" i="6"/>
  <c r="A285" i="9" s="1"/>
  <c r="A283" i="9"/>
  <c r="H10" i="6"/>
  <c r="A282" i="9" s="1"/>
  <c r="H8" i="6"/>
  <c r="A280" i="9" s="1"/>
  <c r="H6" i="1"/>
  <c r="H48" i="4"/>
  <c r="H34" i="6"/>
  <c r="H131" i="6"/>
  <c r="H39" i="4"/>
  <c r="H129" i="6"/>
  <c r="H36" i="4"/>
  <c r="H46" i="4"/>
  <c r="H179" i="6"/>
  <c r="H28" i="6"/>
  <c r="H169" i="6"/>
  <c r="H163" i="6"/>
  <c r="H136" i="6"/>
  <c r="H168" i="6"/>
  <c r="H37" i="4"/>
  <c r="H175" i="6"/>
  <c r="H130" i="6"/>
  <c r="H26" i="6"/>
  <c r="H132" i="6"/>
  <c r="H49" i="4"/>
  <c r="H137" i="6"/>
  <c r="H165" i="6"/>
  <c r="H176" i="6"/>
  <c r="H135" i="6"/>
  <c r="H30" i="6"/>
  <c r="H162" i="6"/>
  <c r="H177" i="6"/>
  <c r="H170" i="6"/>
  <c r="H38" i="4"/>
  <c r="H164" i="6"/>
  <c r="H40" i="4"/>
  <c r="H45" i="4"/>
  <c r="H178" i="6"/>
  <c r="H54" i="4"/>
  <c r="H27" i="6"/>
  <c r="H47" i="4"/>
  <c r="H50" i="4"/>
  <c r="H174" i="6"/>
  <c r="H41" i="4"/>
  <c r="H134" i="6"/>
  <c r="H29" i="6"/>
  <c r="H56" i="4"/>
  <c r="H167" i="6"/>
  <c r="C35" i="6" l="1"/>
  <c r="H98" i="6"/>
  <c r="H99" i="6"/>
  <c r="A359" i="9" s="1"/>
  <c r="C51" i="3"/>
  <c r="C37" i="6"/>
  <c r="C80" i="6" s="1"/>
  <c r="C49" i="3"/>
  <c r="C55" i="4"/>
  <c r="C53" i="4"/>
  <c r="C61" i="3"/>
  <c r="C59" i="3"/>
  <c r="E59" i="3"/>
  <c r="C36" i="6"/>
  <c r="H103" i="6"/>
  <c r="A363" i="9" s="1"/>
  <c r="H102" i="6"/>
  <c r="A362" i="9" s="1"/>
  <c r="H101" i="6"/>
  <c r="A361" i="9" s="1"/>
  <c r="H6" i="6"/>
  <c r="A278" i="9" s="1"/>
  <c r="H100" i="6"/>
  <c r="A360" i="9" s="1"/>
  <c r="A439" i="9"/>
  <c r="A438" i="9"/>
  <c r="A437" i="9"/>
  <c r="A436" i="9"/>
  <c r="A389" i="9"/>
  <c r="A430" i="9"/>
  <c r="A434" i="9"/>
  <c r="A423" i="9"/>
  <c r="A422" i="9"/>
  <c r="A302" i="9"/>
  <c r="A394" i="9"/>
  <c r="A427" i="9"/>
  <c r="A298" i="9"/>
  <c r="A390" i="9"/>
  <c r="A301" i="9"/>
  <c r="A300" i="9"/>
  <c r="A396" i="9"/>
  <c r="A425" i="9"/>
  <c r="A395" i="9"/>
  <c r="A299" i="9"/>
  <c r="A397" i="9"/>
  <c r="A428" i="9"/>
  <c r="A392" i="9"/>
  <c r="A429" i="9"/>
  <c r="A391" i="9"/>
  <c r="A424" i="9"/>
  <c r="A435" i="9"/>
  <c r="A358" i="9"/>
  <c r="H14" i="1"/>
  <c r="H16" i="1"/>
  <c r="A13" i="9" s="1"/>
  <c r="B32" i="7"/>
  <c r="B8" i="7"/>
  <c r="H8" i="1"/>
  <c r="A5" i="9" s="1"/>
  <c r="B33" i="7"/>
  <c r="B9" i="7"/>
  <c r="H10" i="1"/>
  <c r="H12" i="1"/>
  <c r="A9" i="9" s="1"/>
  <c r="B47" i="7"/>
  <c r="B35" i="7"/>
  <c r="B36" i="7"/>
  <c r="B12" i="7"/>
  <c r="B11" i="7"/>
  <c r="D32" i="3"/>
  <c r="D31" i="3"/>
  <c r="D30" i="3"/>
  <c r="D29" i="3"/>
  <c r="D27" i="3"/>
  <c r="D26" i="3"/>
  <c r="D25" i="3"/>
  <c r="D24" i="3"/>
  <c r="D22" i="3"/>
  <c r="D21" i="3"/>
  <c r="D20" i="3"/>
  <c r="D19" i="3"/>
  <c r="D17" i="3"/>
  <c r="D16" i="3"/>
  <c r="D15" i="3"/>
  <c r="D14" i="3"/>
  <c r="D12" i="3"/>
  <c r="D11" i="3"/>
  <c r="D10" i="3"/>
  <c r="D9" i="3"/>
  <c r="D7" i="3"/>
  <c r="D6" i="3"/>
  <c r="D5" i="3"/>
  <c r="D4" i="3"/>
  <c r="H46" i="3"/>
  <c r="E61" i="3"/>
  <c r="D48" i="3"/>
  <c r="D61" i="3"/>
  <c r="D60" i="3"/>
  <c r="D59" i="3"/>
  <c r="D58" i="3"/>
  <c r="D51" i="3"/>
  <c r="D50" i="3"/>
  <c r="D49" i="3"/>
  <c r="A243" i="9"/>
  <c r="A248" i="9"/>
  <c r="A253" i="9"/>
  <c r="A258" i="9"/>
  <c r="A263" i="9"/>
  <c r="H2" i="3"/>
  <c r="A138" i="9"/>
  <c r="A143" i="9"/>
  <c r="H80" i="6"/>
  <c r="H36" i="6"/>
  <c r="H49" i="3"/>
  <c r="H35" i="6"/>
  <c r="H51" i="3"/>
  <c r="H37" i="6"/>
  <c r="H55" i="4"/>
  <c r="H53" i="4"/>
  <c r="A309" i="9" l="1"/>
  <c r="C58" i="3"/>
  <c r="C48" i="3"/>
  <c r="C60" i="3"/>
  <c r="C50" i="3"/>
  <c r="B23" i="7" s="1"/>
  <c r="C78" i="6"/>
  <c r="C130" i="6" s="1"/>
  <c r="C137" i="6"/>
  <c r="C127" i="6"/>
  <c r="C117" i="6"/>
  <c r="C132" i="6"/>
  <c r="C122" i="6"/>
  <c r="C112" i="6"/>
  <c r="A352" i="9"/>
  <c r="A308" i="9"/>
  <c r="A307" i="9"/>
  <c r="A306" i="9"/>
  <c r="A272" i="9"/>
  <c r="A274" i="9"/>
  <c r="H85" i="1"/>
  <c r="A82" i="9" s="1"/>
  <c r="H84" i="1"/>
  <c r="A81" i="9" s="1"/>
  <c r="H83" i="1"/>
  <c r="A80" i="9" s="1"/>
  <c r="H82" i="1"/>
  <c r="A79" i="9" s="1"/>
  <c r="H81" i="1"/>
  <c r="A78" i="9" s="1"/>
  <c r="H80" i="1"/>
  <c r="A77" i="9" s="1"/>
  <c r="H79" i="1"/>
  <c r="A76" i="9" s="1"/>
  <c r="H78" i="1"/>
  <c r="A75" i="9" s="1"/>
  <c r="H77" i="1"/>
  <c r="A74" i="9" s="1"/>
  <c r="H76" i="1"/>
  <c r="A73" i="9" s="1"/>
  <c r="H65" i="1"/>
  <c r="A62" i="9" s="1"/>
  <c r="H66" i="1"/>
  <c r="A63" i="9" s="1"/>
  <c r="H67" i="1"/>
  <c r="A64" i="9" s="1"/>
  <c r="H68" i="1"/>
  <c r="A65" i="9" s="1"/>
  <c r="H69" i="1"/>
  <c r="A66" i="9" s="1"/>
  <c r="H70" i="1"/>
  <c r="A67" i="9" s="1"/>
  <c r="H71" i="1"/>
  <c r="A68" i="9" s="1"/>
  <c r="H72" i="1"/>
  <c r="A69" i="9" s="1"/>
  <c r="H73" i="1"/>
  <c r="A70" i="9" s="1"/>
  <c r="H64" i="1"/>
  <c r="A61" i="9" s="1"/>
  <c r="A60" i="9"/>
  <c r="A72" i="9"/>
  <c r="A106" i="9"/>
  <c r="A111" i="9"/>
  <c r="H7" i="4"/>
  <c r="A152" i="9" s="1"/>
  <c r="H8" i="4"/>
  <c r="A153" i="9" s="1"/>
  <c r="H9" i="4"/>
  <c r="A154" i="9" s="1"/>
  <c r="H10" i="4"/>
  <c r="A155" i="9" s="1"/>
  <c r="H11" i="4"/>
  <c r="A156" i="9" s="1"/>
  <c r="H12" i="4"/>
  <c r="A157" i="9" s="1"/>
  <c r="H13" i="4"/>
  <c r="A158" i="9" s="1"/>
  <c r="H14" i="4"/>
  <c r="A159" i="9" s="1"/>
  <c r="H15" i="4"/>
  <c r="A160" i="9" s="1"/>
  <c r="H16" i="4"/>
  <c r="A161" i="9" s="1"/>
  <c r="H17" i="4"/>
  <c r="A162" i="9" s="1"/>
  <c r="H18" i="4"/>
  <c r="A163" i="9" s="1"/>
  <c r="H19" i="4"/>
  <c r="A164" i="9" s="1"/>
  <c r="H20" i="4"/>
  <c r="A165" i="9" s="1"/>
  <c r="H21" i="4"/>
  <c r="A166" i="9" s="1"/>
  <c r="H22" i="4"/>
  <c r="A167" i="9" s="1"/>
  <c r="H23" i="4"/>
  <c r="A168" i="9" s="1"/>
  <c r="H24" i="4"/>
  <c r="A169" i="9" s="1"/>
  <c r="H25" i="4"/>
  <c r="A170" i="9" s="1"/>
  <c r="H26" i="4"/>
  <c r="A171" i="9" s="1"/>
  <c r="H27" i="4"/>
  <c r="A172" i="9" s="1"/>
  <c r="H28" i="4"/>
  <c r="A173" i="9" s="1"/>
  <c r="H29" i="4"/>
  <c r="A174" i="9" s="1"/>
  <c r="H30" i="4"/>
  <c r="A175" i="9" s="1"/>
  <c r="H31" i="4"/>
  <c r="A176" i="9" s="1"/>
  <c r="H32" i="4"/>
  <c r="A177" i="9" s="1"/>
  <c r="H6" i="4"/>
  <c r="A151" i="9" s="1"/>
  <c r="H10" i="2"/>
  <c r="A209" i="9" s="1"/>
  <c r="H9" i="2"/>
  <c r="A208" i="9" s="1"/>
  <c r="H8" i="2"/>
  <c r="A207" i="9" s="1"/>
  <c r="H7" i="2"/>
  <c r="A206" i="9" s="1"/>
  <c r="H18" i="2"/>
  <c r="A217" i="9" s="1"/>
  <c r="H17" i="2"/>
  <c r="A216" i="9" s="1"/>
  <c r="H16" i="2"/>
  <c r="A215" i="9" s="1"/>
  <c r="H15" i="2"/>
  <c r="A214" i="9" s="1"/>
  <c r="H14" i="2"/>
  <c r="A213" i="9" s="1"/>
  <c r="H22" i="2"/>
  <c r="A221" i="9" s="1"/>
  <c r="H20" i="2"/>
  <c r="A219" i="9" s="1"/>
  <c r="H79" i="2"/>
  <c r="H78" i="2"/>
  <c r="H77" i="2"/>
  <c r="H76" i="2"/>
  <c r="G79" i="2"/>
  <c r="G78" i="2"/>
  <c r="G77" i="2"/>
  <c r="G76" i="2"/>
  <c r="F77" i="2"/>
  <c r="F76" i="2"/>
  <c r="H31" i="2"/>
  <c r="A230" i="9" s="1"/>
  <c r="H30" i="2"/>
  <c r="H24" i="2"/>
  <c r="D29" i="2"/>
  <c r="D28" i="2"/>
  <c r="D27" i="2"/>
  <c r="D26" i="2"/>
  <c r="H12" i="2"/>
  <c r="H4" i="2"/>
  <c r="D36" i="2"/>
  <c r="D35" i="2"/>
  <c r="D34" i="2"/>
  <c r="D33" i="2"/>
  <c r="F79" i="2"/>
  <c r="F78" i="2"/>
  <c r="E79" i="2"/>
  <c r="E78" i="2"/>
  <c r="E77" i="2"/>
  <c r="E76" i="2"/>
  <c r="H52" i="4"/>
  <c r="H33" i="2"/>
  <c r="H27" i="2"/>
  <c r="H36" i="2"/>
  <c r="H34" i="2"/>
  <c r="H35" i="2"/>
  <c r="H78" i="6"/>
  <c r="H122" i="6"/>
  <c r="H117" i="6"/>
  <c r="H26" i="2"/>
  <c r="H112" i="6"/>
  <c r="H29" i="2"/>
  <c r="H127" i="6"/>
  <c r="H50" i="3"/>
  <c r="H48" i="3"/>
  <c r="H28" i="2"/>
  <c r="C125" i="6" l="1"/>
  <c r="A228" i="9"/>
  <c r="A226" i="9"/>
  <c r="A227" i="9"/>
  <c r="A225" i="9"/>
  <c r="C135" i="6"/>
  <c r="C115" i="6"/>
  <c r="C120" i="6"/>
  <c r="E58" i="3"/>
  <c r="C110" i="6"/>
  <c r="A273" i="9"/>
  <c r="A271" i="9"/>
  <c r="E60" i="3"/>
  <c r="C79" i="6"/>
  <c r="C136" i="6" s="1"/>
  <c r="C77" i="6"/>
  <c r="A372" i="9"/>
  <c r="A387" i="9"/>
  <c r="A377" i="9"/>
  <c r="A382" i="9"/>
  <c r="A350" i="9"/>
  <c r="A233" i="9"/>
  <c r="A235" i="9"/>
  <c r="A232" i="9"/>
  <c r="A234" i="9"/>
  <c r="A108" i="9"/>
  <c r="A71" i="9"/>
  <c r="A112" i="9"/>
  <c r="A83" i="9"/>
  <c r="A113" i="9"/>
  <c r="A107" i="9"/>
  <c r="A114" i="9"/>
  <c r="A115" i="9"/>
  <c r="A109" i="9"/>
  <c r="A110" i="9"/>
  <c r="C29" i="3"/>
  <c r="C32" i="3"/>
  <c r="C31" i="3"/>
  <c r="C30" i="3"/>
  <c r="C27" i="3"/>
  <c r="C26" i="3"/>
  <c r="C25" i="3"/>
  <c r="C24" i="3"/>
  <c r="H4" i="4"/>
  <c r="H34" i="4"/>
  <c r="H43" i="4"/>
  <c r="F72" i="4"/>
  <c r="D71" i="4"/>
  <c r="F68" i="4"/>
  <c r="F67" i="4"/>
  <c r="F66" i="4"/>
  <c r="F65" i="4"/>
  <c r="F64" i="4"/>
  <c r="F63" i="4"/>
  <c r="D68" i="4"/>
  <c r="D67" i="4"/>
  <c r="D66" i="4"/>
  <c r="D65" i="4"/>
  <c r="D64" i="4"/>
  <c r="D63" i="4"/>
  <c r="H120" i="1"/>
  <c r="A123" i="9"/>
  <c r="A128" i="9"/>
  <c r="A133" i="9"/>
  <c r="H17" i="1"/>
  <c r="A14" i="9" s="1"/>
  <c r="H18" i="1"/>
  <c r="A15" i="9" s="1"/>
  <c r="H19" i="1"/>
  <c r="A16" i="9" s="1"/>
  <c r="H20" i="1"/>
  <c r="A17" i="9" s="1"/>
  <c r="H21" i="1"/>
  <c r="A18" i="9" s="1"/>
  <c r="H22" i="1"/>
  <c r="A19" i="9" s="1"/>
  <c r="H23" i="1"/>
  <c r="A20" i="9" s="1"/>
  <c r="H24" i="1"/>
  <c r="A21" i="9" s="1"/>
  <c r="H25" i="1"/>
  <c r="A22" i="9" s="1"/>
  <c r="H27" i="1"/>
  <c r="A24" i="9" s="1"/>
  <c r="H28" i="1"/>
  <c r="A25" i="9" s="1"/>
  <c r="H29" i="1"/>
  <c r="A26" i="9" s="1"/>
  <c r="H30" i="1"/>
  <c r="A27" i="9" s="1"/>
  <c r="H31" i="1"/>
  <c r="A28" i="9" s="1"/>
  <c r="H32" i="1"/>
  <c r="A29" i="9" s="1"/>
  <c r="H33" i="1"/>
  <c r="A30" i="9" s="1"/>
  <c r="H34" i="1"/>
  <c r="A31" i="9" s="1"/>
  <c r="H35" i="1"/>
  <c r="A32" i="9" s="1"/>
  <c r="H36" i="1"/>
  <c r="A33" i="9" s="1"/>
  <c r="H37" i="1"/>
  <c r="A34" i="9" s="1"/>
  <c r="H39" i="1"/>
  <c r="A36" i="9" s="1"/>
  <c r="H40" i="1"/>
  <c r="A37" i="9" s="1"/>
  <c r="H41" i="1"/>
  <c r="A38" i="9" s="1"/>
  <c r="H42" i="1"/>
  <c r="A39" i="9" s="1"/>
  <c r="H43" i="1"/>
  <c r="A40" i="9" s="1"/>
  <c r="H44" i="1"/>
  <c r="A41" i="9" s="1"/>
  <c r="H45" i="1"/>
  <c r="A42" i="9" s="1"/>
  <c r="H46" i="1"/>
  <c r="A43" i="9" s="1"/>
  <c r="H47" i="1"/>
  <c r="A44" i="9" s="1"/>
  <c r="H48" i="1"/>
  <c r="A45" i="9" s="1"/>
  <c r="H49" i="1"/>
  <c r="A46" i="9" s="1"/>
  <c r="H51" i="1"/>
  <c r="A48" i="9" s="1"/>
  <c r="H52" i="1"/>
  <c r="A49" i="9" s="1"/>
  <c r="H53" i="1"/>
  <c r="A50" i="9" s="1"/>
  <c r="H54" i="1"/>
  <c r="A51" i="9" s="1"/>
  <c r="H55" i="1"/>
  <c r="A52" i="9" s="1"/>
  <c r="H56" i="1"/>
  <c r="A53" i="9" s="1"/>
  <c r="H57" i="1"/>
  <c r="A54" i="9" s="1"/>
  <c r="H58" i="1"/>
  <c r="A55" i="9" s="1"/>
  <c r="H59" i="1"/>
  <c r="A56" i="9" s="1"/>
  <c r="H60" i="1"/>
  <c r="A57" i="9" s="1"/>
  <c r="H61" i="1"/>
  <c r="A58" i="9" s="1"/>
  <c r="H88" i="1"/>
  <c r="A91" i="9"/>
  <c r="A96" i="9"/>
  <c r="A101" i="9"/>
  <c r="E122" i="1"/>
  <c r="E123" i="1"/>
  <c r="E124" i="1"/>
  <c r="E125" i="1"/>
  <c r="H31" i="3"/>
  <c r="H30" i="3"/>
  <c r="H24" i="3"/>
  <c r="H110" i="6"/>
  <c r="H27" i="3"/>
  <c r="H120" i="6"/>
  <c r="H125" i="6"/>
  <c r="H77" i="6"/>
  <c r="H115" i="6"/>
  <c r="H29" i="3"/>
  <c r="H32" i="3"/>
  <c r="H25" i="3"/>
  <c r="H26" i="3"/>
  <c r="H79" i="6"/>
  <c r="C69" i="6" l="1"/>
  <c r="C168" i="6" s="1"/>
  <c r="C70" i="6"/>
  <c r="C64" i="6"/>
  <c r="C71" i="6"/>
  <c r="C68" i="6"/>
  <c r="C65" i="6"/>
  <c r="C63" i="6"/>
  <c r="C66" i="6"/>
  <c r="C121" i="6"/>
  <c r="C131" i="6"/>
  <c r="C116" i="6"/>
  <c r="C126" i="6"/>
  <c r="C111" i="6"/>
  <c r="A349" i="9"/>
  <c r="A351" i="9"/>
  <c r="C119" i="6"/>
  <c r="C129" i="6"/>
  <c r="C134" i="6"/>
  <c r="C124" i="6"/>
  <c r="C114" i="6"/>
  <c r="C109" i="6"/>
  <c r="A380" i="9"/>
  <c r="A370" i="9"/>
  <c r="A385" i="9"/>
  <c r="A375" i="9"/>
  <c r="A184" i="9"/>
  <c r="A181" i="9"/>
  <c r="A182" i="9"/>
  <c r="A185" i="9"/>
  <c r="A186" i="9"/>
  <c r="A183" i="9"/>
  <c r="A144" i="9"/>
  <c r="A145" i="9"/>
  <c r="A139" i="9"/>
  <c r="A142" i="9"/>
  <c r="A146" i="9"/>
  <c r="A141" i="9"/>
  <c r="A147" i="9"/>
  <c r="A140" i="9"/>
  <c r="A59" i="9"/>
  <c r="A47" i="9"/>
  <c r="A35" i="9"/>
  <c r="A23" i="9"/>
  <c r="B44" i="7"/>
  <c r="B43" i="7"/>
  <c r="G66" i="4"/>
  <c r="E48" i="4"/>
  <c r="G67" i="4"/>
  <c r="E49" i="4"/>
  <c r="G68" i="4"/>
  <c r="E50" i="4"/>
  <c r="G64" i="4"/>
  <c r="E46" i="4"/>
  <c r="G65" i="4"/>
  <c r="E47" i="4"/>
  <c r="G63" i="4"/>
  <c r="E45" i="4"/>
  <c r="F69" i="4"/>
  <c r="D69" i="4"/>
  <c r="C7" i="3"/>
  <c r="C12" i="3"/>
  <c r="C17" i="3"/>
  <c r="C22" i="3"/>
  <c r="C20" i="3"/>
  <c r="C4" i="3"/>
  <c r="C14" i="3"/>
  <c r="C5" i="3"/>
  <c r="C15" i="3"/>
  <c r="C6" i="3"/>
  <c r="C16" i="3"/>
  <c r="C10" i="3"/>
  <c r="C9" i="3"/>
  <c r="C19" i="3"/>
  <c r="C11" i="3"/>
  <c r="C21" i="3"/>
  <c r="H16" i="3"/>
  <c r="H11" i="3"/>
  <c r="H7" i="3"/>
  <c r="H119" i="6"/>
  <c r="H10" i="3"/>
  <c r="H63" i="6"/>
  <c r="H68" i="6"/>
  <c r="H64" i="6"/>
  <c r="H15" i="3"/>
  <c r="H116" i="6"/>
  <c r="H121" i="6"/>
  <c r="H22" i="3"/>
  <c r="H65" i="6"/>
  <c r="H124" i="6"/>
  <c r="H12" i="3"/>
  <c r="H70" i="6"/>
  <c r="H14" i="3"/>
  <c r="H126" i="6"/>
  <c r="H21" i="3"/>
  <c r="H19" i="3"/>
  <c r="H6" i="3"/>
  <c r="H20" i="3"/>
  <c r="H5" i="3"/>
  <c r="H114" i="6"/>
  <c r="H9" i="3"/>
  <c r="H111" i="6"/>
  <c r="H17" i="3"/>
  <c r="H69" i="6"/>
  <c r="H109" i="6"/>
  <c r="H66" i="6"/>
  <c r="H4" i="3"/>
  <c r="H71" i="6"/>
  <c r="C164" i="6" l="1"/>
  <c r="C162" i="6"/>
  <c r="C49" i="6"/>
  <c r="C54" i="6"/>
  <c r="H8" i="10" s="1"/>
  <c r="C46" i="6"/>
  <c r="C170" i="6"/>
  <c r="C60" i="6"/>
  <c r="C159" i="6" s="1"/>
  <c r="C44" i="6"/>
  <c r="C53" i="6"/>
  <c r="C167" i="6"/>
  <c r="C163" i="6"/>
  <c r="C50" i="6"/>
  <c r="C149" i="6" s="1"/>
  <c r="C58" i="6"/>
  <c r="C43" i="6"/>
  <c r="C142" i="6" s="1"/>
  <c r="C48" i="6"/>
  <c r="C147" i="6" s="1"/>
  <c r="C59" i="6"/>
  <c r="C61" i="6"/>
  <c r="C55" i="6"/>
  <c r="H9" i="10" s="1"/>
  <c r="C56" i="6"/>
  <c r="H10" i="10" s="1"/>
  <c r="C165" i="6"/>
  <c r="C178" i="6" s="1"/>
  <c r="C45" i="6"/>
  <c r="C51" i="6"/>
  <c r="C169" i="6"/>
  <c r="A371" i="9"/>
  <c r="A386" i="9"/>
  <c r="A376" i="9"/>
  <c r="A381" i="9"/>
  <c r="C144" i="6"/>
  <c r="C154" i="6"/>
  <c r="H13" i="10" s="1"/>
  <c r="A374" i="9"/>
  <c r="A384" i="9"/>
  <c r="A379" i="9"/>
  <c r="A369" i="9"/>
  <c r="C157" i="6"/>
  <c r="A342" i="9"/>
  <c r="A341" i="9"/>
  <c r="A337" i="9"/>
  <c r="A338" i="9"/>
  <c r="A336" i="9"/>
  <c r="A335" i="9"/>
  <c r="A343" i="9"/>
  <c r="A261" i="9"/>
  <c r="A247" i="9"/>
  <c r="A262" i="9"/>
  <c r="A265" i="9"/>
  <c r="A256" i="9"/>
  <c r="A267" i="9"/>
  <c r="A250" i="9"/>
  <c r="A255" i="9"/>
  <c r="A264" i="9"/>
  <c r="A260" i="9"/>
  <c r="A246" i="9"/>
  <c r="A240" i="9"/>
  <c r="A245" i="9"/>
  <c r="A251" i="9"/>
  <c r="A241" i="9"/>
  <c r="A252" i="9"/>
  <c r="A259" i="9"/>
  <c r="A257" i="9"/>
  <c r="A242" i="9"/>
  <c r="A266" i="9"/>
  <c r="A192" i="9"/>
  <c r="A194" i="9"/>
  <c r="A193" i="9"/>
  <c r="A190" i="9"/>
  <c r="A191" i="9"/>
  <c r="A195" i="9"/>
  <c r="A201" i="9"/>
  <c r="A199" i="9"/>
  <c r="A103" i="9"/>
  <c r="A99" i="9"/>
  <c r="A92" i="9"/>
  <c r="A120" i="9"/>
  <c r="A124" i="9"/>
  <c r="A90" i="9"/>
  <c r="A127" i="9"/>
  <c r="A126" i="9"/>
  <c r="A119" i="9"/>
  <c r="A89" i="9"/>
  <c r="A102" i="9"/>
  <c r="A93" i="9"/>
  <c r="A98" i="9"/>
  <c r="A95" i="9"/>
  <c r="A88" i="9"/>
  <c r="A122" i="9"/>
  <c r="A105" i="9"/>
  <c r="A87" i="9"/>
  <c r="A94" i="9"/>
  <c r="A125" i="9"/>
  <c r="A97" i="9"/>
  <c r="A104" i="9"/>
  <c r="A100" i="9"/>
  <c r="B20" i="7"/>
  <c r="B19" i="7"/>
  <c r="B41" i="7"/>
  <c r="B42" i="7"/>
  <c r="B39" i="7"/>
  <c r="B40" i="7"/>
  <c r="H68" i="4"/>
  <c r="H67" i="4"/>
  <c r="H66" i="4"/>
  <c r="H65" i="4"/>
  <c r="H64" i="4"/>
  <c r="H63" i="4"/>
  <c r="D160" i="1"/>
  <c r="E160" i="1" s="1"/>
  <c r="F160" i="1" s="1"/>
  <c r="D157" i="1"/>
  <c r="E157" i="1" s="1"/>
  <c r="F157" i="1" s="1"/>
  <c r="D158" i="1"/>
  <c r="E158" i="1" s="1"/>
  <c r="F158" i="1" s="1"/>
  <c r="D159" i="1"/>
  <c r="E159" i="1" s="1"/>
  <c r="F159" i="1" s="1"/>
  <c r="H55" i="6"/>
  <c r="H50" i="6"/>
  <c r="H147" i="6"/>
  <c r="H49" i="6"/>
  <c r="H61" i="6"/>
  <c r="H149" i="6"/>
  <c r="H46" i="6"/>
  <c r="H142" i="6"/>
  <c r="H48" i="6"/>
  <c r="H51" i="6"/>
  <c r="H44" i="6"/>
  <c r="H58" i="6"/>
  <c r="H154" i="6"/>
  <c r="H54" i="6"/>
  <c r="H60" i="6"/>
  <c r="H159" i="6"/>
  <c r="H45" i="6"/>
  <c r="H59" i="6"/>
  <c r="H53" i="6"/>
  <c r="H43" i="6"/>
  <c r="H56" i="6"/>
  <c r="H144" i="6"/>
  <c r="H157" i="6"/>
  <c r="C152" i="6" l="1"/>
  <c r="H7" i="10"/>
  <c r="A317" i="9"/>
  <c r="A318" i="9"/>
  <c r="A333" i="9"/>
  <c r="A322" i="9"/>
  <c r="A326" i="9"/>
  <c r="A328" i="9"/>
  <c r="A331" i="9"/>
  <c r="A419" i="9"/>
  <c r="A316" i="9"/>
  <c r="A323" i="9"/>
  <c r="A321" i="9"/>
  <c r="A327" i="9"/>
  <c r="A332" i="9"/>
  <c r="C6" i="10"/>
  <c r="C145" i="6"/>
  <c r="C160" i="6"/>
  <c r="C8" i="10"/>
  <c r="C153" i="6"/>
  <c r="H12" i="10" s="1"/>
  <c r="C155" i="6"/>
  <c r="C158" i="6"/>
  <c r="C143" i="6"/>
  <c r="C174" i="6" s="1"/>
  <c r="C150" i="6"/>
  <c r="C175" i="6" s="1"/>
  <c r="C179" i="6"/>
  <c r="C148" i="6"/>
  <c r="C9" i="10"/>
  <c r="C7" i="10"/>
  <c r="A414" i="9"/>
  <c r="A404" i="9"/>
  <c r="A315" i="9"/>
  <c r="A330" i="9"/>
  <c r="A325" i="9"/>
  <c r="A320" i="9"/>
  <c r="A409" i="9"/>
  <c r="A340" i="9"/>
  <c r="A254" i="9"/>
  <c r="A239" i="9"/>
  <c r="A249" i="9"/>
  <c r="A244" i="9"/>
  <c r="A198" i="9"/>
  <c r="A200" i="9"/>
  <c r="A135" i="9"/>
  <c r="A131" i="9"/>
  <c r="A121" i="9"/>
  <c r="A137" i="9"/>
  <c r="A132" i="9"/>
  <c r="A129" i="9"/>
  <c r="A130" i="9"/>
  <c r="A136" i="9"/>
  <c r="A134" i="9"/>
  <c r="B16" i="7"/>
  <c r="B15" i="7"/>
  <c r="B18" i="7"/>
  <c r="B17" i="7"/>
  <c r="H72" i="4"/>
  <c r="D162" i="1"/>
  <c r="H145" i="6"/>
  <c r="H152" i="6"/>
  <c r="H160" i="6"/>
  <c r="H153" i="6"/>
  <c r="H150" i="6"/>
  <c r="H155" i="6"/>
  <c r="H148" i="6"/>
  <c r="H143" i="6"/>
  <c r="H158" i="6"/>
  <c r="C176" i="6" l="1"/>
  <c r="H14" i="10"/>
  <c r="H11" i="10"/>
  <c r="H15" i="10" s="1"/>
  <c r="C177" i="6"/>
  <c r="A420" i="9"/>
  <c r="A405" i="9"/>
  <c r="A403" i="9"/>
  <c r="A418" i="9"/>
  <c r="A408" i="9"/>
  <c r="A413" i="9"/>
  <c r="A415" i="9"/>
  <c r="A410" i="9"/>
  <c r="C10" i="10"/>
  <c r="C13" i="10"/>
  <c r="C11" i="10"/>
  <c r="C12" i="10"/>
  <c r="A402" i="9"/>
  <c r="A417" i="9"/>
  <c r="A407" i="9"/>
  <c r="A412" i="9"/>
  <c r="E162" i="1"/>
  <c r="C14" i="10" l="1"/>
  <c r="F162" i="1"/>
</calcChain>
</file>

<file path=xl/sharedStrings.xml><?xml version="1.0" encoding="utf-8"?>
<sst xmlns="http://schemas.openxmlformats.org/spreadsheetml/2006/main" count="853" uniqueCount="615">
  <si>
    <t>Hardware-</t>
  </si>
  <si>
    <t>komponente</t>
  </si>
  <si>
    <t>Kurzbezeichnung</t>
  </si>
  <si>
    <t>Digitale Basisressource</t>
  </si>
  <si>
    <t>der Plattform (DBR)</t>
  </si>
  <si>
    <t>Beispiel</t>
  </si>
  <si>
    <t>Einheit</t>
  </si>
  <si>
    <r>
      <t>Durchschnittliche Auslastung oder Belegung (Load</t>
    </r>
    <r>
      <rPr>
        <b/>
        <vertAlign val="subscript"/>
        <sz val="9"/>
        <color theme="1"/>
        <rFont val="Calibri"/>
        <family val="2"/>
      </rPr>
      <t>average</t>
    </r>
    <r>
      <rPr>
        <b/>
        <sz val="9"/>
        <color theme="1"/>
        <rFont val="Calibri"/>
        <family val="2"/>
      </rPr>
      <t>)</t>
    </r>
  </si>
  <si>
    <t>Durchschnittlich bereitgestellte</t>
  </si>
  <si>
    <r>
      <t>digitale Basisressource (DBR</t>
    </r>
    <r>
      <rPr>
        <b/>
        <vertAlign val="subscript"/>
        <sz val="9"/>
        <color rgb="FF000000"/>
        <rFont val="Calibri"/>
        <family val="2"/>
      </rPr>
      <t>average</t>
    </r>
    <r>
      <rPr>
        <b/>
        <sz val="9"/>
        <color rgb="FF000000"/>
        <rFont val="Calibri"/>
        <family val="2"/>
      </rPr>
      <t>)</t>
    </r>
  </si>
  <si>
    <t>CPU</t>
  </si>
  <si>
    <t>co (compute)</t>
  </si>
  <si>
    <t>CPU-Frequenz * Busbreite</t>
  </si>
  <si>
    <t>RAM</t>
  </si>
  <si>
    <t>me (memorize)</t>
  </si>
  <si>
    <t>Arbeitsspeicherplatz</t>
  </si>
  <si>
    <t>Storage</t>
  </si>
  <si>
    <t>st (store)</t>
  </si>
  <si>
    <t>Festplattenspeicherplatz</t>
  </si>
  <si>
    <t>Network</t>
  </si>
  <si>
    <t>tr (transfer)</t>
  </si>
  <si>
    <t>maximale Datenübertragung</t>
  </si>
  <si>
    <t xml:space="preserve">Tabelle 1: Beispielhafte digitale Basisressourcen einer Plattform </t>
  </si>
  <si>
    <t>Komponente (hw)</t>
  </si>
  <si>
    <r>
      <t>Netto EI</t>
    </r>
    <r>
      <rPr>
        <b/>
        <vertAlign val="subscript"/>
        <sz val="9"/>
        <color theme="1"/>
        <rFont val="Calibri"/>
        <family val="2"/>
      </rPr>
      <t>hw</t>
    </r>
    <r>
      <rPr>
        <sz val="9"/>
        <color theme="1"/>
        <rFont val="Calibri"/>
        <family val="2"/>
      </rPr>
      <t xml:space="preserve"> </t>
    </r>
  </si>
  <si>
    <t>(Beispielwerte)</t>
  </si>
  <si>
    <r>
      <t>Zuordnungsfaktor für Overhead z</t>
    </r>
    <r>
      <rPr>
        <b/>
        <vertAlign val="subscript"/>
        <sz val="9"/>
        <color theme="1"/>
        <rFont val="Calibri"/>
        <family val="2"/>
      </rPr>
      <t>hw</t>
    </r>
  </si>
  <si>
    <t>Zugeordneter Overhead</t>
  </si>
  <si>
    <t>Brutto</t>
  </si>
  <si>
    <r>
      <t>EI</t>
    </r>
    <r>
      <rPr>
        <b/>
        <vertAlign val="subscript"/>
        <sz val="9"/>
        <color theme="1"/>
        <rFont val="Calibri"/>
        <family val="2"/>
      </rPr>
      <t>hw</t>
    </r>
  </si>
  <si>
    <t>Zuordnung zur digitalen Basisressource</t>
  </si>
  <si>
    <t>CPU/GPU</t>
  </si>
  <si>
    <t>SSD/HDD</t>
  </si>
  <si>
    <t>Netzwerkkomponente</t>
  </si>
  <si>
    <t>Sonstige Komponenten (Overhead)</t>
  </si>
  <si>
    <t>-</t>
  </si>
  <si>
    <t>Summe</t>
  </si>
  <si>
    <r>
      <t>P</t>
    </r>
    <r>
      <rPr>
        <b/>
        <vertAlign val="subscript"/>
        <sz val="9"/>
        <color rgb="FF000000"/>
        <rFont val="Calibri"/>
        <family val="2"/>
      </rPr>
      <t>idle</t>
    </r>
  </si>
  <si>
    <r>
      <t>P</t>
    </r>
    <r>
      <rPr>
        <b/>
        <vertAlign val="subscript"/>
        <sz val="9"/>
        <color rgb="FF000000"/>
        <rFont val="Calibri"/>
        <family val="2"/>
      </rPr>
      <t>max</t>
    </r>
  </si>
  <si>
    <r>
      <t>Durchschnittliche Auslastung (Load</t>
    </r>
    <r>
      <rPr>
        <b/>
        <vertAlign val="subscript"/>
        <sz val="9"/>
        <color rgb="FF000000"/>
        <rFont val="Calibri"/>
        <family val="2"/>
      </rPr>
      <t>average</t>
    </r>
    <r>
      <rPr>
        <b/>
        <sz val="9"/>
        <color rgb="FF000000"/>
        <rFont val="Calibri"/>
        <family val="2"/>
      </rPr>
      <t>)</t>
    </r>
  </si>
  <si>
    <r>
      <t>Netto P</t>
    </r>
    <r>
      <rPr>
        <b/>
        <vertAlign val="subscript"/>
        <sz val="9"/>
        <color rgb="FF000000"/>
        <rFont val="Calibri"/>
        <family val="2"/>
      </rPr>
      <t>average</t>
    </r>
    <r>
      <rPr>
        <b/>
        <sz val="9"/>
        <color rgb="FF000000"/>
        <rFont val="Calibri"/>
        <family val="2"/>
      </rPr>
      <t xml:space="preserve"> </t>
    </r>
    <r>
      <rPr>
        <b/>
        <vertAlign val="subscript"/>
        <sz val="9"/>
        <color rgb="FF000000"/>
        <rFont val="Calibri"/>
        <family val="2"/>
      </rPr>
      <t xml:space="preserve"> </t>
    </r>
  </si>
  <si>
    <r>
      <t>Zuordnungsfaktor für Overhead z</t>
    </r>
    <r>
      <rPr>
        <b/>
        <vertAlign val="subscript"/>
        <sz val="9"/>
        <color rgb="FF000000"/>
        <rFont val="Calibri"/>
        <family val="2"/>
      </rPr>
      <t>hw</t>
    </r>
  </si>
  <si>
    <r>
      <t>Brutto P</t>
    </r>
    <r>
      <rPr>
        <b/>
        <vertAlign val="subscript"/>
        <sz val="9"/>
        <color rgb="FF000000"/>
        <rFont val="Calibri"/>
        <family val="2"/>
      </rPr>
      <t>average</t>
    </r>
    <r>
      <rPr>
        <b/>
        <sz val="9"/>
        <color rgb="FF000000"/>
        <rFont val="Calibri"/>
        <family val="2"/>
      </rPr>
      <t xml:space="preserve"> </t>
    </r>
    <r>
      <rPr>
        <b/>
        <vertAlign val="subscript"/>
        <sz val="9"/>
        <color rgb="FF000000"/>
        <rFont val="Calibri"/>
        <family val="2"/>
      </rPr>
      <t xml:space="preserve"> </t>
    </r>
  </si>
  <si>
    <t>Zuordnung DBR</t>
  </si>
  <si>
    <t>co</t>
  </si>
  <si>
    <t>GPU</t>
  </si>
  <si>
    <t>me</t>
  </si>
  <si>
    <t>SSD</t>
  </si>
  <si>
    <t>st</t>
  </si>
  <si>
    <t>HDD</t>
  </si>
  <si>
    <t>NW (Netzwerkkomponente)</t>
  </si>
  <si>
    <t>tr</t>
  </si>
  <si>
    <t>Sonstige Komponenten (=Overhead)</t>
  </si>
  <si>
    <r>
      <t>S</t>
    </r>
    <r>
      <rPr>
        <sz val="9"/>
        <color rgb="FF000000"/>
        <rFont val="Calibri"/>
        <family val="2"/>
      </rPr>
      <t xml:space="preserve"> </t>
    </r>
    <r>
      <rPr>
        <sz val="9"/>
        <color rgb="FF000000"/>
        <rFont val="Symbol"/>
        <family val="1"/>
        <charset val="2"/>
      </rPr>
      <t xml:space="preserve">= </t>
    </r>
    <r>
      <rPr>
        <sz val="9"/>
        <color rgb="FF000000"/>
        <rFont val="Calibri"/>
        <family val="2"/>
      </rPr>
      <t>P</t>
    </r>
    <r>
      <rPr>
        <vertAlign val="subscript"/>
        <sz val="9"/>
        <color rgb="FF000000"/>
        <rFont val="Calibri"/>
        <family val="2"/>
      </rPr>
      <t>max</t>
    </r>
  </si>
  <si>
    <r>
      <t>S</t>
    </r>
    <r>
      <rPr>
        <sz val="9"/>
        <color rgb="FF000000"/>
        <rFont val="Calibri"/>
        <family val="2"/>
      </rPr>
      <t xml:space="preserve"> </t>
    </r>
    <r>
      <rPr>
        <sz val="9"/>
        <color rgb="FF000000"/>
        <rFont val="Symbol"/>
        <family val="1"/>
        <charset val="2"/>
      </rPr>
      <t xml:space="preserve">= </t>
    </r>
  </si>
  <si>
    <r>
      <t>Netto P</t>
    </r>
    <r>
      <rPr>
        <vertAlign val="subscript"/>
        <sz val="9"/>
        <color rgb="FF000000"/>
        <rFont val="Calibri"/>
        <family val="2"/>
      </rPr>
      <t>average</t>
    </r>
  </si>
  <si>
    <r>
      <t>S</t>
    </r>
    <r>
      <rPr>
        <sz val="9"/>
        <color rgb="FF000000"/>
        <rFont val="Calibri"/>
        <family val="2"/>
      </rPr>
      <t xml:space="preserve"> </t>
    </r>
    <r>
      <rPr>
        <sz val="9"/>
        <color rgb="FF000000"/>
        <rFont val="Symbol"/>
        <family val="1"/>
        <charset val="2"/>
      </rPr>
      <t>= 100%</t>
    </r>
  </si>
  <si>
    <r>
      <t>Brutto P</t>
    </r>
    <r>
      <rPr>
        <vertAlign val="subscript"/>
        <sz val="9"/>
        <color rgb="FF000000"/>
        <rFont val="Calibri"/>
        <family val="2"/>
      </rPr>
      <t>average</t>
    </r>
  </si>
  <si>
    <t>Tabelle 4: Aufteilung der Leistungsaufnahme nach Hardware-Komponenten</t>
  </si>
  <si>
    <t>Umweltwirkungskategorie (EI)</t>
  </si>
  <si>
    <t>CED</t>
  </si>
  <si>
    <t>GWP</t>
  </si>
  <si>
    <t>ADP</t>
  </si>
  <si>
    <t>Water</t>
  </si>
  <si>
    <t>WEEE</t>
  </si>
  <si>
    <t>TOX</t>
  </si>
  <si>
    <t>compute</t>
  </si>
  <si>
    <t>memorize</t>
  </si>
  <si>
    <t>store</t>
  </si>
  <si>
    <t>transfer</t>
  </si>
  <si>
    <r>
      <t>EBR_CED</t>
    </r>
    <r>
      <rPr>
        <vertAlign val="subscript"/>
        <sz val="10"/>
        <color theme="1"/>
        <rFont val="Arial"/>
        <family val="2"/>
      </rPr>
      <t>co</t>
    </r>
  </si>
  <si>
    <r>
      <t>EBR_CED</t>
    </r>
    <r>
      <rPr>
        <vertAlign val="subscript"/>
        <sz val="10"/>
        <color theme="1"/>
        <rFont val="Arial"/>
        <family val="2"/>
      </rPr>
      <t>me</t>
    </r>
  </si>
  <si>
    <r>
      <t>EBR_CED</t>
    </r>
    <r>
      <rPr>
        <vertAlign val="subscript"/>
        <sz val="10"/>
        <color theme="1"/>
        <rFont val="Arial"/>
        <family val="2"/>
      </rPr>
      <t>st</t>
    </r>
  </si>
  <si>
    <r>
      <t>EBR_CED</t>
    </r>
    <r>
      <rPr>
        <vertAlign val="subscript"/>
        <sz val="10"/>
        <color theme="1"/>
        <rFont val="Arial"/>
        <family val="2"/>
      </rPr>
      <t>tr</t>
    </r>
  </si>
  <si>
    <r>
      <t>EBR_GWP</t>
    </r>
    <r>
      <rPr>
        <vertAlign val="subscript"/>
        <sz val="10"/>
        <color theme="1"/>
        <rFont val="Arial"/>
        <family val="2"/>
      </rPr>
      <t>co</t>
    </r>
  </si>
  <si>
    <r>
      <t>EBR_GWP</t>
    </r>
    <r>
      <rPr>
        <vertAlign val="subscript"/>
        <sz val="10"/>
        <color theme="1"/>
        <rFont val="Arial"/>
        <family val="2"/>
      </rPr>
      <t>me</t>
    </r>
  </si>
  <si>
    <r>
      <t>EBR_GWP</t>
    </r>
    <r>
      <rPr>
        <vertAlign val="subscript"/>
        <sz val="10"/>
        <color theme="1"/>
        <rFont val="Arial"/>
        <family val="2"/>
      </rPr>
      <t>st</t>
    </r>
  </si>
  <si>
    <r>
      <t>EBR_GWP</t>
    </r>
    <r>
      <rPr>
        <vertAlign val="subscript"/>
        <sz val="10"/>
        <color theme="1"/>
        <rFont val="Arial"/>
        <family val="2"/>
      </rPr>
      <t>tr</t>
    </r>
  </si>
  <si>
    <r>
      <t>EBR_ADP</t>
    </r>
    <r>
      <rPr>
        <vertAlign val="subscript"/>
        <sz val="10"/>
        <color theme="1"/>
        <rFont val="Arial"/>
        <family val="2"/>
      </rPr>
      <t>co</t>
    </r>
  </si>
  <si>
    <r>
      <t>EBR_ADP</t>
    </r>
    <r>
      <rPr>
        <vertAlign val="subscript"/>
        <sz val="10"/>
        <color theme="1"/>
        <rFont val="Arial"/>
        <family val="2"/>
      </rPr>
      <t>me</t>
    </r>
  </si>
  <si>
    <r>
      <t>EBR_ADP</t>
    </r>
    <r>
      <rPr>
        <vertAlign val="subscript"/>
        <sz val="10"/>
        <color theme="1"/>
        <rFont val="Arial"/>
        <family val="2"/>
      </rPr>
      <t>st</t>
    </r>
  </si>
  <si>
    <r>
      <t>EBR_ADP</t>
    </r>
    <r>
      <rPr>
        <vertAlign val="subscript"/>
        <sz val="10"/>
        <color theme="1"/>
        <rFont val="Arial"/>
        <family val="2"/>
      </rPr>
      <t>tr</t>
    </r>
  </si>
  <si>
    <r>
      <t>EBR_Water</t>
    </r>
    <r>
      <rPr>
        <vertAlign val="subscript"/>
        <sz val="10"/>
        <color theme="1"/>
        <rFont val="Arial"/>
        <family val="2"/>
      </rPr>
      <t>co</t>
    </r>
  </si>
  <si>
    <r>
      <t>EBR_Water</t>
    </r>
    <r>
      <rPr>
        <vertAlign val="subscript"/>
        <sz val="10"/>
        <color theme="1"/>
        <rFont val="Arial"/>
        <family val="2"/>
      </rPr>
      <t>me</t>
    </r>
  </si>
  <si>
    <r>
      <t>EBR_Water</t>
    </r>
    <r>
      <rPr>
        <vertAlign val="subscript"/>
        <sz val="10"/>
        <color theme="1"/>
        <rFont val="Arial"/>
        <family val="2"/>
      </rPr>
      <t>st</t>
    </r>
  </si>
  <si>
    <r>
      <t>EBR_Water</t>
    </r>
    <r>
      <rPr>
        <vertAlign val="subscript"/>
        <sz val="10"/>
        <color theme="1"/>
        <rFont val="Arial"/>
        <family val="2"/>
      </rPr>
      <t>tr</t>
    </r>
  </si>
  <si>
    <r>
      <t>EBR_WEEE</t>
    </r>
    <r>
      <rPr>
        <vertAlign val="subscript"/>
        <sz val="10"/>
        <color theme="1"/>
        <rFont val="Arial"/>
        <family val="2"/>
      </rPr>
      <t>co</t>
    </r>
  </si>
  <si>
    <r>
      <t>EBR_WEEE</t>
    </r>
    <r>
      <rPr>
        <vertAlign val="subscript"/>
        <sz val="10"/>
        <color theme="1"/>
        <rFont val="Arial"/>
        <family val="2"/>
      </rPr>
      <t>me</t>
    </r>
  </si>
  <si>
    <r>
      <t>EBR_WEEE</t>
    </r>
    <r>
      <rPr>
        <vertAlign val="subscript"/>
        <sz val="10"/>
        <color theme="1"/>
        <rFont val="Arial"/>
        <family val="2"/>
      </rPr>
      <t>st</t>
    </r>
  </si>
  <si>
    <r>
      <t>EBR_WEEE</t>
    </r>
    <r>
      <rPr>
        <vertAlign val="subscript"/>
        <sz val="10"/>
        <color theme="1"/>
        <rFont val="Arial"/>
        <family val="2"/>
      </rPr>
      <t>tr</t>
    </r>
  </si>
  <si>
    <r>
      <t>EBR_TOX</t>
    </r>
    <r>
      <rPr>
        <vertAlign val="subscript"/>
        <sz val="10"/>
        <color theme="1"/>
        <rFont val="Arial"/>
        <family val="2"/>
      </rPr>
      <t>co</t>
    </r>
  </si>
  <si>
    <r>
      <t>EBR_TOX</t>
    </r>
    <r>
      <rPr>
        <vertAlign val="subscript"/>
        <sz val="10"/>
        <color theme="1"/>
        <rFont val="Arial"/>
        <family val="2"/>
      </rPr>
      <t>me</t>
    </r>
  </si>
  <si>
    <r>
      <t>EBR_TOX</t>
    </r>
    <r>
      <rPr>
        <vertAlign val="subscript"/>
        <sz val="10"/>
        <color theme="1"/>
        <rFont val="Arial"/>
        <family val="2"/>
      </rPr>
      <t>st</t>
    </r>
  </si>
  <si>
    <r>
      <t>EBR_TOX</t>
    </r>
    <r>
      <rPr>
        <vertAlign val="subscript"/>
        <sz val="10"/>
        <color theme="1"/>
        <rFont val="Arial"/>
        <family val="2"/>
      </rPr>
      <t>tr</t>
    </r>
  </si>
  <si>
    <t>Tabelle 6: Aufwandskennzahlen für die Herstellung EBR_EIDBR</t>
  </si>
  <si>
    <t>DBR-Kurzbezeichnung</t>
  </si>
  <si>
    <r>
      <t>P</t>
    </r>
    <r>
      <rPr>
        <b/>
        <vertAlign val="subscript"/>
        <sz val="9"/>
        <color rgb="FF000000"/>
        <rFont val="Calibri"/>
        <family val="2"/>
      </rPr>
      <t>average</t>
    </r>
    <r>
      <rPr>
        <b/>
        <sz val="9"/>
        <color rgb="FF000000"/>
        <rFont val="Calibri"/>
        <family val="2"/>
      </rPr>
      <t xml:space="preserve"> (brutto)</t>
    </r>
  </si>
  <si>
    <r>
      <t xml:space="preserve"> EBR_P = P</t>
    </r>
    <r>
      <rPr>
        <b/>
        <vertAlign val="subscript"/>
        <sz val="9"/>
        <color rgb="FF000000"/>
        <rFont val="Calibri"/>
        <family val="2"/>
      </rPr>
      <t>average</t>
    </r>
    <r>
      <rPr>
        <b/>
        <sz val="9"/>
        <color rgb="FF000000"/>
        <rFont val="Calibri"/>
        <family val="2"/>
      </rPr>
      <t>/DBR</t>
    </r>
    <r>
      <rPr>
        <b/>
        <vertAlign val="subscript"/>
        <sz val="9"/>
        <color rgb="FF000000"/>
        <rFont val="Calibri"/>
        <family val="2"/>
      </rPr>
      <t>average</t>
    </r>
  </si>
  <si>
    <t>Tabelle 8: Aufwandskennzahlen Nutzungsphase (Pel im Verhältnis zu DBR)</t>
  </si>
  <si>
    <t>Bezeichnung</t>
  </si>
  <si>
    <t>Messwert</t>
  </si>
  <si>
    <t>CPU (pro CPU)</t>
  </si>
  <si>
    <t>Taktfrequenz</t>
  </si>
  <si>
    <t>Frequenz</t>
  </si>
  <si>
    <t>[GHz]</t>
  </si>
  <si>
    <t>Busbreite</t>
  </si>
  <si>
    <t>Anzahl</t>
  </si>
  <si>
    <t>[Bit]</t>
  </si>
  <si>
    <t>[...]</t>
  </si>
  <si>
    <t>GPU (pro GPU) Kennzahlen noch prüfen</t>
  </si>
  <si>
    <t>Anzahl Transistoren</t>
  </si>
  <si>
    <t>[10^6]</t>
  </si>
  <si>
    <t>Shader und Raytracing Recheneinheiten</t>
  </si>
  <si>
    <t>[TFLOPS]</t>
  </si>
  <si>
    <t>Tensor Recheneinheiten</t>
  </si>
  <si>
    <t>[AI TOPS]</t>
  </si>
  <si>
    <t>Speicherplatz gesamt</t>
  </si>
  <si>
    <t>[GByte]</t>
  </si>
  <si>
    <t>[TByte]</t>
  </si>
  <si>
    <t>Maximale Bandbreite</t>
  </si>
  <si>
    <t>[Mbit/s]</t>
  </si>
  <si>
    <t>CPU (Summe der CPUs)</t>
  </si>
  <si>
    <r>
      <t>Load</t>
    </r>
    <r>
      <rPr>
        <vertAlign val="subscript"/>
        <sz val="9"/>
        <color theme="1"/>
        <rFont val="Calibri"/>
        <family val="2"/>
      </rPr>
      <t>average</t>
    </r>
  </si>
  <si>
    <t>[%]</t>
  </si>
  <si>
    <t>GPU (Summe der GPUs)</t>
  </si>
  <si>
    <r>
      <t>Load</t>
    </r>
    <r>
      <rPr>
        <vertAlign val="subscript"/>
        <sz val="9"/>
        <color rgb="FF000000"/>
        <rFont val="Calibri"/>
        <family val="2"/>
      </rPr>
      <t>average</t>
    </r>
  </si>
  <si>
    <t>RAM (Summe der RAMs)</t>
  </si>
  <si>
    <t>Permanentspeicher (Summe)</t>
  </si>
  <si>
    <t>CED_CPU</t>
  </si>
  <si>
    <t>MJ</t>
  </si>
  <si>
    <t>CED_GPU</t>
  </si>
  <si>
    <t>CED_RAM</t>
  </si>
  <si>
    <t>CED_SSD</t>
  </si>
  <si>
    <t>CED_PCB</t>
  </si>
  <si>
    <t>CED_Chassis</t>
  </si>
  <si>
    <t>CED_HDD</t>
  </si>
  <si>
    <t>CED_PSUetc</t>
  </si>
  <si>
    <t>CED_AssTest</t>
  </si>
  <si>
    <t>CED_Ports</t>
  </si>
  <si>
    <t>CED_Sum</t>
  </si>
  <si>
    <t>GWP_CPU</t>
  </si>
  <si>
    <t>GWP_GPU</t>
  </si>
  <si>
    <t>GWP_RAM</t>
  </si>
  <si>
    <t>GWP_SSD</t>
  </si>
  <si>
    <t>GWP_PCB</t>
  </si>
  <si>
    <t>GWP_Chassis</t>
  </si>
  <si>
    <t>GWP_HDD</t>
  </si>
  <si>
    <t>GWP_PSUetc</t>
  </si>
  <si>
    <t>GWP_AssTest</t>
  </si>
  <si>
    <t>GWP_Ports</t>
  </si>
  <si>
    <t>GWP_Sum</t>
  </si>
  <si>
    <t>ADP_CPU</t>
  </si>
  <si>
    <t>kg Sb eq</t>
  </si>
  <si>
    <t>ADP_GPU</t>
  </si>
  <si>
    <t>ADP_RAM</t>
  </si>
  <si>
    <t>ADP_SSD</t>
  </si>
  <si>
    <t>ADP_PCB</t>
  </si>
  <si>
    <t>ADP_Chassis</t>
  </si>
  <si>
    <t>ADP_HDD</t>
  </si>
  <si>
    <t>ADP_PSUetc</t>
  </si>
  <si>
    <t>ADP_AssTest</t>
  </si>
  <si>
    <t>ADP_Ports</t>
  </si>
  <si>
    <t>ADP_Sum</t>
  </si>
  <si>
    <t>Water_CPU</t>
  </si>
  <si>
    <t>m³ World eq</t>
  </si>
  <si>
    <t>Water_GPU</t>
  </si>
  <si>
    <t>Water_RAM</t>
  </si>
  <si>
    <t>Water_SSD</t>
  </si>
  <si>
    <t>Water_PCB</t>
  </si>
  <si>
    <t>Water_Chassis</t>
  </si>
  <si>
    <t>Water_HDD</t>
  </si>
  <si>
    <t>Water_PSUetc</t>
  </si>
  <si>
    <t>Water_AssTest</t>
  </si>
  <si>
    <t>Water_Ports</t>
  </si>
  <si>
    <t>Water_Sum</t>
  </si>
  <si>
    <t>CED_co</t>
  </si>
  <si>
    <t>CED_me</t>
  </si>
  <si>
    <t>CED_st</t>
  </si>
  <si>
    <t>CED_tr</t>
  </si>
  <si>
    <t>GWP_co</t>
  </si>
  <si>
    <t>kg CO2 eq</t>
  </si>
  <si>
    <t>GWP_me</t>
  </si>
  <si>
    <t>GWP_st</t>
  </si>
  <si>
    <t>GWP_tr</t>
  </si>
  <si>
    <t>ADP_co</t>
  </si>
  <si>
    <t>ADP_me</t>
  </si>
  <si>
    <t>ADP_st</t>
  </si>
  <si>
    <t>ADP_tr</t>
  </si>
  <si>
    <t>Water_co</t>
  </si>
  <si>
    <t>Water_me</t>
  </si>
  <si>
    <t>Water_st</t>
  </si>
  <si>
    <t>Water_tr</t>
  </si>
  <si>
    <r>
      <t># Zuordnungsfaktor für Overhead z</t>
    </r>
    <r>
      <rPr>
        <vertAlign val="subscript"/>
        <sz val="9"/>
        <color theme="1"/>
        <rFont val="Calibri"/>
        <family val="2"/>
        <scheme val="minor"/>
      </rPr>
      <t>hw</t>
    </r>
  </si>
  <si>
    <t>Tabelle 3: Aufteilung der Umweltwirkungen nach Hardware-Komponenten  (Beispiel CED in [MJ])</t>
  </si>
  <si>
    <t>Umweltwirkungen der Hardware-Herstellung (separate Erfassung)</t>
  </si>
  <si>
    <t>Inputs</t>
  </si>
  <si>
    <t>z_CED_compute</t>
  </si>
  <si>
    <t>z_CED_memorize</t>
  </si>
  <si>
    <t>z_CED_store</t>
  </si>
  <si>
    <t>z_CED_transfer</t>
  </si>
  <si>
    <t>z_GWP_compute</t>
  </si>
  <si>
    <t>z_GWP_memorize</t>
  </si>
  <si>
    <t>z_GWP_store</t>
  </si>
  <si>
    <t>z_GWP_transfer</t>
  </si>
  <si>
    <t>z_ADP_compute</t>
  </si>
  <si>
    <t>z_ADP_memorize</t>
  </si>
  <si>
    <t>z_ADP_store</t>
  </si>
  <si>
    <t>z_ADP_transfer</t>
  </si>
  <si>
    <t>z_Water_compute</t>
  </si>
  <si>
    <t>z_Water_memorize</t>
  </si>
  <si>
    <t>z_Water_store</t>
  </si>
  <si>
    <t>z_Water_transfer</t>
  </si>
  <si>
    <t># Maschinenlesbare Form</t>
  </si>
  <si>
    <t># EI per DBR (manufacturing)</t>
  </si>
  <si>
    <t>Umweltwirkungen in der Nutzungsphase</t>
  </si>
  <si>
    <t>P_idle_CPU</t>
  </si>
  <si>
    <t>P_max_CPU</t>
  </si>
  <si>
    <t>P_average_CPU</t>
  </si>
  <si>
    <t>P_idle_GPU</t>
  </si>
  <si>
    <t>P_max_GPU</t>
  </si>
  <si>
    <t>P_average_GPU</t>
  </si>
  <si>
    <t>P_idle_RAM</t>
  </si>
  <si>
    <t>P_max_RAM</t>
  </si>
  <si>
    <t>P_average_RAM</t>
  </si>
  <si>
    <t>P_idle_NW</t>
  </si>
  <si>
    <t>P_max_NW</t>
  </si>
  <si>
    <t>P_average_NW</t>
  </si>
  <si>
    <t>P_idle_total</t>
  </si>
  <si>
    <t>P_average_total</t>
  </si>
  <si>
    <t>P_max_total</t>
  </si>
  <si>
    <t>P_idle_SSD</t>
  </si>
  <si>
    <t>P_max_SSD</t>
  </si>
  <si>
    <t>P_average_SSD</t>
  </si>
  <si>
    <t>P_idle_HDD</t>
  </si>
  <si>
    <t>P_max_HDD</t>
  </si>
  <si>
    <t>P_average_HDD</t>
  </si>
  <si>
    <t># Netto-Leistungsaufnahme</t>
  </si>
  <si>
    <t>W</t>
  </si>
  <si>
    <t>z_CPU</t>
  </si>
  <si>
    <t>z_GPU</t>
  </si>
  <si>
    <t>z_RAM</t>
  </si>
  <si>
    <t>z_SSD</t>
  </si>
  <si>
    <t>z_HDD</t>
  </si>
  <si>
    <t>z_NW</t>
  </si>
  <si>
    <t>Hardware-Komponente (h)</t>
  </si>
  <si>
    <t># Brutto-Leistungsaufnahme</t>
  </si>
  <si>
    <t>P_brutto_average_CPU</t>
  </si>
  <si>
    <t>P_brutto_average_GPU</t>
  </si>
  <si>
    <t>P_brutto_average_RAM</t>
  </si>
  <si>
    <t>P_brutto_average_SSD</t>
  </si>
  <si>
    <t>P_brutto_average_HDD</t>
  </si>
  <si>
    <t>P_brutto_average_NW</t>
  </si>
  <si>
    <t>P_brutto_average_co</t>
  </si>
  <si>
    <t>P_brutto_average_me</t>
  </si>
  <si>
    <t>P_brutto_average_st</t>
  </si>
  <si>
    <t>P_brutto_average_tr</t>
  </si>
  <si>
    <t># nicht nach Hardware, sondern nach DBR aufgeteilt</t>
  </si>
  <si>
    <t>DBR_CPU</t>
  </si>
  <si>
    <t>DBR_GPU</t>
  </si>
  <si>
    <t>DBR_RAM</t>
  </si>
  <si>
    <t>DBR_SSDHDD</t>
  </si>
  <si>
    <t>DBR_NW</t>
  </si>
  <si>
    <t>Recheneinheiten pro Sekunde</t>
  </si>
  <si>
    <t># Durchschnittliche Auslastung oder Belegung (Load_average)</t>
  </si>
  <si>
    <t>Load_average_CPU</t>
  </si>
  <si>
    <t>Load_average_GPU</t>
  </si>
  <si>
    <t>Load_average_RAM</t>
  </si>
  <si>
    <t>Load_average_SSDHDD</t>
  </si>
  <si>
    <t>Load_average_NW</t>
  </si>
  <si>
    <t>DW_co</t>
  </si>
  <si>
    <t>Lifetime</t>
  </si>
  <si>
    <t>DW_me</t>
  </si>
  <si>
    <t>DW_tr</t>
  </si>
  <si>
    <t>DBR_CPU_unit</t>
  </si>
  <si>
    <t>DBR_GPU_unit</t>
  </si>
  <si>
    <t>DBR_RAM_unit</t>
  </si>
  <si>
    <t>DBR_SSDHDD_unit</t>
  </si>
  <si>
    <t>DBR_NW_unit</t>
  </si>
  <si>
    <t>DW_st</t>
  </si>
  <si>
    <t>Achtung, noch ohne GPU! Abweichende Einheit</t>
  </si>
  <si>
    <t># Digitale Basisressourcen DBR_maximal</t>
  </si>
  <si>
    <t># Digitale Basisressourcen DBR_average</t>
  </si>
  <si>
    <t>DBR_co_average</t>
  </si>
  <si>
    <t>DBR_me_average</t>
  </si>
  <si>
    <t>DBR_st_average</t>
  </si>
  <si>
    <t>DBR_tr_average</t>
  </si>
  <si>
    <t># Aufwandskennzahlen für die Herstellung</t>
  </si>
  <si>
    <t># Aufwandskennzahlen für die Nutzungsphase</t>
  </si>
  <si>
    <t>EBR_CED_co</t>
  </si>
  <si>
    <t>EBR_CED_me</t>
  </si>
  <si>
    <t>EBR_CED_st</t>
  </si>
  <si>
    <t>EBR_CED_tr</t>
  </si>
  <si>
    <t>EBR_GWP_co</t>
  </si>
  <si>
    <t>EBR_GWP_me</t>
  </si>
  <si>
    <t>EBR_GWP_st</t>
  </si>
  <si>
    <t>EBR_GWP_tr</t>
  </si>
  <si>
    <t>EBR_ADP_co</t>
  </si>
  <si>
    <t>EBR_ADP_me</t>
  </si>
  <si>
    <t>EBR_ADP_st</t>
  </si>
  <si>
    <t>EBR_ADP_tr</t>
  </si>
  <si>
    <t>EBR_Water_co</t>
  </si>
  <si>
    <t>EBR_Water_me</t>
  </si>
  <si>
    <t>EBR_Water_st</t>
  </si>
  <si>
    <t>EBR_Water_tr</t>
  </si>
  <si>
    <t>WEEE_CPU</t>
  </si>
  <si>
    <t>WEEE_GPU</t>
  </si>
  <si>
    <t>WEEE_RAM</t>
  </si>
  <si>
    <t>WEEE_SSD</t>
  </si>
  <si>
    <t>WEEE_PCB</t>
  </si>
  <si>
    <t>WEEE_Chassis</t>
  </si>
  <si>
    <t>WEEE_HDD</t>
  </si>
  <si>
    <t>WEEE_PSUetc</t>
  </si>
  <si>
    <t>WEEE_AssTest</t>
  </si>
  <si>
    <t>WEEE_Ports</t>
  </si>
  <si>
    <t>WEEE_Sum</t>
  </si>
  <si>
    <t>TOX_CPU</t>
  </si>
  <si>
    <t>TOX_GPU</t>
  </si>
  <si>
    <t>TOX_RAM</t>
  </si>
  <si>
    <t>TOX_SSD</t>
  </si>
  <si>
    <t>TOX_PCB</t>
  </si>
  <si>
    <t>TOX_Chassis</t>
  </si>
  <si>
    <t>TOX_HDD</t>
  </si>
  <si>
    <t>TOX_PSUetc</t>
  </si>
  <si>
    <t>TOX_AssTest</t>
  </si>
  <si>
    <t>TOX_Ports</t>
  </si>
  <si>
    <t>TOX_Sum</t>
  </si>
  <si>
    <t>kg WEEE</t>
  </si>
  <si>
    <t>kg MEG eq</t>
  </si>
  <si>
    <t>z_WEEE_compute</t>
  </si>
  <si>
    <t>z_WEEE_memorize</t>
  </si>
  <si>
    <t>z_WEEE_store</t>
  </si>
  <si>
    <t>z_WEEE_transfer</t>
  </si>
  <si>
    <t>z_TOX_compute</t>
  </si>
  <si>
    <t>z_TOX_memorize</t>
  </si>
  <si>
    <t>z_TOX_store</t>
  </si>
  <si>
    <t>z_TOX_transfer</t>
  </si>
  <si>
    <t>TOX_co</t>
  </si>
  <si>
    <t>TOX_me</t>
  </si>
  <si>
    <t>TOX_st</t>
  </si>
  <si>
    <t>TOX_tr</t>
  </si>
  <si>
    <t>WEEE_co</t>
  </si>
  <si>
    <t>WEEE_me</t>
  </si>
  <si>
    <t>WEEE_st</t>
  </si>
  <si>
    <t>WEEE_tr</t>
  </si>
  <si>
    <t>(Hier nur Beispielswerte)</t>
  </si>
  <si>
    <t>EBR_WEEE_co</t>
  </si>
  <si>
    <t>EBR_WEEE_me</t>
  </si>
  <si>
    <t>EBR_WEEE_st</t>
  </si>
  <si>
    <t>EBR_WEEE_tr</t>
  </si>
  <si>
    <t>EBR_TOX_co</t>
  </si>
  <si>
    <t>EBR_TOX_me</t>
  </si>
  <si>
    <t>EBR_TOX_st</t>
  </si>
  <si>
    <t>EBR_TOX_tr</t>
  </si>
  <si>
    <t># Netto EI_hw</t>
  </si>
  <si>
    <t>EBR_P_co</t>
  </si>
  <si>
    <t>EBR_P_me</t>
  </si>
  <si>
    <t>EBR_P_st</t>
  </si>
  <si>
    <t>EBR_P_tr</t>
  </si>
  <si>
    <t>{</t>
  </si>
  <si>
    <t>}</t>
  </si>
  <si>
    <t>Tabelle 13: Plattform-Profil mit festgelegter durchschnittlicher Nutzung</t>
  </si>
  <si>
    <t xml:space="preserve">    "platform_profile": "average",</t>
  </si>
  <si>
    <t xml:space="preserve">    "svhc_score": score,</t>
  </si>
  <si>
    <t xml:space="preserve">    "usage": {</t>
  </si>
  <si>
    <t xml:space="preserve">    },</t>
  </si>
  <si>
    <t xml:space="preserve">    "embedded": {</t>
  </si>
  <si>
    <t xml:space="preserve">        "EBR_CED": ["co", "me", "st", "tr"],</t>
  </si>
  <si>
    <t xml:space="preserve">        "EBR_GWP": ["co", "me", "st", "tr"],</t>
  </si>
  <si>
    <t xml:space="preserve">        "EBR_ADP": ["co", "me", "st", "tr"],</t>
  </si>
  <si>
    <t xml:space="preserve">        "EBR_Water": ["co", "me", "st", "tr"],</t>
  </si>
  <si>
    <t xml:space="preserve">        "EBR_WEEE": ["co", "me", "st", "tr"],</t>
  </si>
  <si>
    <t xml:space="preserve">        "EBR_TOX": ["co", "me", "st", "tr"]</t>
  </si>
  <si>
    <t xml:space="preserve">    "power_demand": {</t>
  </si>
  <si>
    <t xml:space="preserve">        "EBR_P": ["co", "me", "st", "tr"]</t>
  </si>
  <si>
    <t xml:space="preserve">    }</t>
  </si>
  <si>
    <t xml:space="preserve">    "platform_profile": "dynamic",</t>
  </si>
  <si>
    <t xml:space="preserve">        "EI_CED": ["co", "me", "st", "tr"],</t>
  </si>
  <si>
    <t xml:space="preserve">        "EI_GWP": ["co", "me", "st", "tr"],</t>
  </si>
  <si>
    <t xml:space="preserve">        "EI_ADP": ["co", "me", "st", "tr"],</t>
  </si>
  <si>
    <t xml:space="preserve">        "EI_Water": ["co", "me", "st", "tr"],</t>
  </si>
  <si>
    <t xml:space="preserve">        "EI_WEEE": ["co", "me", "st", "tr"],</t>
  </si>
  <si>
    <t xml:space="preserve">        "EI_TOX": ["co", "me", "st", "tr"]</t>
  </si>
  <si>
    <t xml:space="preserve">        "P_function": ["co", "me", "st", "tr"]</t>
  </si>
  <si>
    <t>Tabelle 14: Plattform-Profil mit dynamischer Lebensdauer und Auslastung</t>
  </si>
  <si>
    <t xml:space="preserve">        "load_average": [av_co, av_me, av_st, av_tr],</t>
  </si>
  <si>
    <t xml:space="preserve">        "lifetime_average": years</t>
  </si>
  <si>
    <t xml:space="preserve">        "lifetime_dynamic": years</t>
  </si>
  <si>
    <t xml:space="preserve">        "load_dynamic": [co, me, st, tr],</t>
  </si>
  <si>
    <t># Plattform-Profil mit festgelegter durchschnittlicher Nutzung</t>
  </si>
  <si>
    <t># Plattform-Profil mit dynamischer Lebensdauer und Auslastung</t>
  </si>
  <si>
    <t>SVHC_Score</t>
  </si>
  <si>
    <t># Informationsverfügbarkeit zu besonders besorgniserregenden Stoffen (auf Geräteebene)</t>
  </si>
  <si>
    <t>Beispielserver zu Testzwecken</t>
  </si>
  <si>
    <t>Platform_ID</t>
  </si>
  <si>
    <t xml:space="preserve">    "platform_ID": "name or identifier",</t>
  </si>
  <si>
    <t># Allgemeine Informationen zu der Hardware (Plattform)</t>
  </si>
  <si>
    <t># Messung einer spezifischen Software-Anwendung (SW) an einer bestehenden Hardware</t>
  </si>
  <si>
    <t>Load_idle_CPU</t>
  </si>
  <si>
    <t>Load_idle_GPU</t>
  </si>
  <si>
    <t>Load_idle_RAM</t>
  </si>
  <si>
    <t>Load_idle_SSDHDD</t>
  </si>
  <si>
    <t>Load_idle_NW</t>
  </si>
  <si>
    <t># Durchschnittliche Auslastung oder Belegung ohne die Ausführung der zu untersuchenden Software (Load_idle)</t>
  </si>
  <si>
    <t># Durchschnittliche Brutto-Auslastung oder Belegung während der Ausführung der zu untersuchenden Software (Load_av_SW_gross)</t>
  </si>
  <si>
    <t>Load_av_SW_gross_CPU</t>
  </si>
  <si>
    <t>Load_av_SW_gross_GPU</t>
  </si>
  <si>
    <t>Load_av_SW_gross_RAM</t>
  </si>
  <si>
    <t>Load_av_SW_gross_SSDHDD</t>
  </si>
  <si>
    <t>Load_av_SW_gross_NW</t>
  </si>
  <si>
    <t># Durchschnittliche Netto-Auslastung oder Belegung während der Ausführung der zu untersuchenden Software (Load_av_SW_net)</t>
  </si>
  <si>
    <t>Load_av_SW_net_CPU</t>
  </si>
  <si>
    <t>Load_av_SW_net_GPU</t>
  </si>
  <si>
    <t>Load_av_SW_net_RAM</t>
  </si>
  <si>
    <t>Load_av_SW_net_SSDHDD</t>
  </si>
  <si>
    <t>Load_av_SW_net_NW</t>
  </si>
  <si>
    <t># Messung eines Standardnutzungsszenarios</t>
  </si>
  <si>
    <t>time_execution</t>
  </si>
  <si>
    <t>[0...1]</t>
  </si>
  <si>
    <t># Digitale Arbeit (DW = Load_average_net * DBR * time_execution)</t>
  </si>
  <si>
    <t>EI_CED_co</t>
  </si>
  <si>
    <t>DW_SW_co</t>
  </si>
  <si>
    <t>DW_SW_me</t>
  </si>
  <si>
    <t>DW_SW_st</t>
  </si>
  <si>
    <t>DW_SW_tr</t>
  </si>
  <si>
    <t>EI_CED_me</t>
  </si>
  <si>
    <t>EI_CED_st</t>
  </si>
  <si>
    <t>EI_CED_tr</t>
  </si>
  <si>
    <t>EI_GWP_co</t>
  </si>
  <si>
    <t>EI_GWP_me</t>
  </si>
  <si>
    <t>EI_GWP_st</t>
  </si>
  <si>
    <t>EI_GWP_tr</t>
  </si>
  <si>
    <t>EI_ADP_co</t>
  </si>
  <si>
    <t>EI_ADP_me</t>
  </si>
  <si>
    <t>EI_ADP_st</t>
  </si>
  <si>
    <t>EI_ADP_tr</t>
  </si>
  <si>
    <t>EI_Water_co</t>
  </si>
  <si>
    <t>EI_Water_me</t>
  </si>
  <si>
    <t>EI_Water_st</t>
  </si>
  <si>
    <t>EI_Water_tr</t>
  </si>
  <si>
    <t>EI_WEEE_co</t>
  </si>
  <si>
    <t>EI_WEEE_me</t>
  </si>
  <si>
    <t>EI_WEEE_st</t>
  </si>
  <si>
    <t>EI_WEEE_tr</t>
  </si>
  <si>
    <t>EI_TOX_co</t>
  </si>
  <si>
    <t>EI_TOX_me</t>
  </si>
  <si>
    <t>EI_TOX_st</t>
  </si>
  <si>
    <t>EI_TOX_tr</t>
  </si>
  <si>
    <t>EI_CED_co_embedded</t>
  </si>
  <si>
    <t>EI_GWP_co_embedded</t>
  </si>
  <si>
    <t>EI_ADP_co_embedded</t>
  </si>
  <si>
    <t>EI_Water_co_embedded</t>
  </si>
  <si>
    <t>EI_WEEE_co_embedded</t>
  </si>
  <si>
    <t>EI_TOX_co_embedded</t>
  </si>
  <si>
    <t>EI_CED_me_embedded</t>
  </si>
  <si>
    <t>EI_GWP_me_embedded</t>
  </si>
  <si>
    <t>EI_ADP_me_embedded</t>
  </si>
  <si>
    <t>EI_Water_me_embedded</t>
  </si>
  <si>
    <t>EI_WEEE_me_embedded</t>
  </si>
  <si>
    <t>EI_TOX_me_embedded</t>
  </si>
  <si>
    <t>EI_CED_st_embedded</t>
  </si>
  <si>
    <t>EI_GWP_st_embedded</t>
  </si>
  <si>
    <t>EI_ADP_st_embedded</t>
  </si>
  <si>
    <t>EI_Water_st_embedded</t>
  </si>
  <si>
    <t>EI_WEEE_st_embedded</t>
  </si>
  <si>
    <t>EI_TOX_st_embedded</t>
  </si>
  <si>
    <t>EI_CED_tr_embedded</t>
  </si>
  <si>
    <t>EI_GWP_tr_embedded</t>
  </si>
  <si>
    <t>EI_ADP_tr_embedded</t>
  </si>
  <si>
    <t>EI_Water_tr_embedded</t>
  </si>
  <si>
    <t>EI_WEEE_tr_embedded</t>
  </si>
  <si>
    <t>EI_TOX_tr_embedded</t>
  </si>
  <si>
    <t>E_co</t>
  </si>
  <si>
    <t>E_me</t>
  </si>
  <si>
    <t>E_st</t>
  </si>
  <si>
    <t>E_tr</t>
  </si>
  <si>
    <t>kWh</t>
  </si>
  <si>
    <t># Umweltwirkung der Software bei der Ausführung durch Stromverbrauch</t>
  </si>
  <si>
    <t># Energieverbrauch der Software bei der Ausführung</t>
  </si>
  <si>
    <t># Umweltwirkungen der Software, anteiliger Herstellungsaufwand (Environmantal Impact EI_embedded)</t>
  </si>
  <si>
    <t>Emissionsfaktor (EF)</t>
  </si>
  <si>
    <t>Beispielwert</t>
  </si>
  <si>
    <t>(Strommix, DE, 2020)</t>
  </si>
  <si>
    <r>
      <t>[MJ/kWh</t>
    </r>
    <r>
      <rPr>
        <vertAlign val="subscript"/>
        <sz val="10"/>
        <color theme="1"/>
        <rFont val="Arial"/>
        <family val="2"/>
      </rPr>
      <t>el</t>
    </r>
    <r>
      <rPr>
        <sz val="10"/>
        <color theme="1"/>
        <rFont val="Arial"/>
        <family val="2"/>
      </rPr>
      <t>]</t>
    </r>
  </si>
  <si>
    <r>
      <t>[kg CO</t>
    </r>
    <r>
      <rPr>
        <vertAlign val="subscript"/>
        <sz val="10"/>
        <color theme="1"/>
        <rFont val="Arial"/>
        <family val="2"/>
      </rPr>
      <t>2</t>
    </r>
    <r>
      <rPr>
        <sz val="10"/>
        <color theme="1"/>
        <rFont val="Arial"/>
        <family val="2"/>
      </rPr>
      <t>e/kWh</t>
    </r>
    <r>
      <rPr>
        <vertAlign val="subscript"/>
        <sz val="10"/>
        <color theme="1"/>
        <rFont val="Arial"/>
        <family val="2"/>
      </rPr>
      <t>el</t>
    </r>
    <r>
      <rPr>
        <sz val="10"/>
        <color theme="1"/>
        <rFont val="Arial"/>
        <family val="2"/>
      </rPr>
      <t>]</t>
    </r>
  </si>
  <si>
    <r>
      <t>[kg Sb eq/kWh</t>
    </r>
    <r>
      <rPr>
        <vertAlign val="subscript"/>
        <sz val="10"/>
        <color theme="1"/>
        <rFont val="Arial"/>
        <family val="2"/>
      </rPr>
      <t>el</t>
    </r>
    <r>
      <rPr>
        <sz val="10"/>
        <color theme="1"/>
        <rFont val="Arial"/>
        <family val="2"/>
      </rPr>
      <t>]</t>
    </r>
  </si>
  <si>
    <r>
      <t>[m³ world eq/kWh</t>
    </r>
    <r>
      <rPr>
        <vertAlign val="subscript"/>
        <sz val="10"/>
        <color theme="1"/>
        <rFont val="Arial"/>
        <family val="2"/>
      </rPr>
      <t>el</t>
    </r>
    <r>
      <rPr>
        <sz val="10"/>
        <color theme="1"/>
        <rFont val="Arial"/>
        <family val="2"/>
      </rPr>
      <t>]</t>
    </r>
  </si>
  <si>
    <r>
      <t>[kg</t>
    </r>
    <r>
      <rPr>
        <vertAlign val="subscript"/>
        <sz val="10"/>
        <color theme="1"/>
        <rFont val="Arial"/>
        <family val="2"/>
      </rPr>
      <t>WEEE</t>
    </r>
    <r>
      <rPr>
        <sz val="10"/>
        <color theme="1"/>
        <rFont val="Arial"/>
        <family val="2"/>
      </rPr>
      <t>/kWh</t>
    </r>
    <r>
      <rPr>
        <vertAlign val="subscript"/>
        <sz val="10"/>
        <color theme="1"/>
        <rFont val="Arial"/>
        <family val="2"/>
      </rPr>
      <t>el</t>
    </r>
    <r>
      <rPr>
        <sz val="10"/>
        <color theme="1"/>
        <rFont val="Arial"/>
        <family val="2"/>
      </rPr>
      <t>]</t>
    </r>
  </si>
  <si>
    <r>
      <t>[kg MEG eq/kWh</t>
    </r>
    <r>
      <rPr>
        <vertAlign val="subscript"/>
        <sz val="10"/>
        <color theme="1"/>
        <rFont val="Arial"/>
        <family val="2"/>
      </rPr>
      <t>el</t>
    </r>
    <r>
      <rPr>
        <sz val="10"/>
        <color theme="1"/>
        <rFont val="Arial"/>
        <family val="2"/>
      </rPr>
      <t>]</t>
    </r>
  </si>
  <si>
    <t>Tabelle 5: Emissionsfaktoren für elektrische Energie</t>
  </si>
  <si>
    <r>
      <t>CED_</t>
    </r>
    <r>
      <rPr>
        <vertAlign val="subscript"/>
        <sz val="10"/>
        <color theme="1"/>
        <rFont val="Arial"/>
        <family val="2"/>
      </rPr>
      <t>el</t>
    </r>
  </si>
  <si>
    <r>
      <t>GWP_</t>
    </r>
    <r>
      <rPr>
        <vertAlign val="subscript"/>
        <sz val="10"/>
        <color theme="1"/>
        <rFont val="Arial"/>
        <family val="2"/>
      </rPr>
      <t>el</t>
    </r>
  </si>
  <si>
    <r>
      <t>ADP_</t>
    </r>
    <r>
      <rPr>
        <vertAlign val="subscript"/>
        <sz val="10"/>
        <color theme="1"/>
        <rFont val="Arial"/>
        <family val="2"/>
      </rPr>
      <t>el</t>
    </r>
  </si>
  <si>
    <r>
      <t>Water_</t>
    </r>
    <r>
      <rPr>
        <vertAlign val="subscript"/>
        <sz val="10"/>
        <color theme="1"/>
        <rFont val="Arial"/>
        <family val="2"/>
      </rPr>
      <t>el</t>
    </r>
  </si>
  <si>
    <r>
      <t>WEEE_</t>
    </r>
    <r>
      <rPr>
        <vertAlign val="subscript"/>
        <sz val="10"/>
        <color theme="1"/>
        <rFont val="Arial"/>
        <family val="2"/>
      </rPr>
      <t>el</t>
    </r>
  </si>
  <si>
    <r>
      <t>TOX_</t>
    </r>
    <r>
      <rPr>
        <vertAlign val="subscript"/>
        <sz val="10"/>
        <color theme="1"/>
        <rFont val="Arial"/>
        <family val="2"/>
      </rPr>
      <t>el</t>
    </r>
  </si>
  <si>
    <t># Emissionsfaktoren für elektrische Energie</t>
  </si>
  <si>
    <t>EF_CED</t>
  </si>
  <si>
    <t>EF_GWP</t>
  </si>
  <si>
    <t>EF_ADP</t>
  </si>
  <si>
    <t>EF_Water</t>
  </si>
  <si>
    <t>EF_WEEE</t>
  </si>
  <si>
    <t>EF_TOX</t>
  </si>
  <si>
    <t># Umrechnung Stromverbrauch in EI</t>
  </si>
  <si>
    <t>EI_CED_co_usephase</t>
  </si>
  <si>
    <t>EI_CED_me_usephase</t>
  </si>
  <si>
    <t>EI_CED_st_usephase</t>
  </si>
  <si>
    <t>EI_CED_tr_usephase</t>
  </si>
  <si>
    <t>EI_GWP_co_usephase</t>
  </si>
  <si>
    <t>EI_GWP_me_usephase</t>
  </si>
  <si>
    <t>EI_GWP_st_usephase</t>
  </si>
  <si>
    <t>EI_GWP_tr_usephase</t>
  </si>
  <si>
    <t>EI_ADP_co_usephase</t>
  </si>
  <si>
    <t>EI_ADP_me_usephase</t>
  </si>
  <si>
    <t>EI_ADP_st_usephase</t>
  </si>
  <si>
    <t>EI_ADP_tr_usephase</t>
  </si>
  <si>
    <t>EI_Water_co_usephase</t>
  </si>
  <si>
    <t>EI_Water_me_usephase</t>
  </si>
  <si>
    <t>EI_Water_st_usephase</t>
  </si>
  <si>
    <t>EI_Water_tr_usephase</t>
  </si>
  <si>
    <t>EI_WEEE_co_usephase</t>
  </si>
  <si>
    <t>EI_WEEE_me_usephase</t>
  </si>
  <si>
    <t>EI_WEEE_st_usephase</t>
  </si>
  <si>
    <t>EI_WEEE_tr_usephase</t>
  </si>
  <si>
    <t>EI_TOX_co_usephase</t>
  </si>
  <si>
    <t>EI_TOX_me_usephase</t>
  </si>
  <si>
    <t>EI_TOX_st_usephase</t>
  </si>
  <si>
    <t>EI_TOX_tr_usephase</t>
  </si>
  <si>
    <t># 	Umweltwirkungen der Software durch Hardware-Herstellung und Nutzungsphase</t>
  </si>
  <si>
    <t># Summenbildung (ohne Differenzierung in einzelne DBR)</t>
  </si>
  <si>
    <t>EI_CED</t>
  </si>
  <si>
    <t>EI_GWP</t>
  </si>
  <si>
    <t>EI_ADP</t>
  </si>
  <si>
    <t>EI_Water</t>
  </si>
  <si>
    <t>EI_WEEE</t>
  </si>
  <si>
    <t>EI_TOX</t>
  </si>
  <si>
    <t># Beispielhafte Detaildarstellung GWP</t>
  </si>
  <si>
    <t>h</t>
  </si>
  <si>
    <t xml:space="preserve">EI_GWP_Sum = </t>
  </si>
  <si>
    <t>[0...1] (input)</t>
  </si>
  <si>
    <t>s (input)</t>
  </si>
  <si>
    <t>Achtung, GPU derzeit ignoriert</t>
  </si>
  <si>
    <t>S =  Pidle</t>
  </si>
  <si>
    <t># Benefit: Nützliche Arbeit der Hardware - Plattform</t>
  </si>
  <si>
    <t># Technische Lebensdauer oder Nutzungsdauer der Hardware - Plattform</t>
  </si>
  <si>
    <t># Digitale Arbeit der Hardware - Plattform über die Lebensdauer</t>
  </si>
  <si>
    <t>Tabelle 11: Messung des Energieverbrauchs der Hardware - Komponenten</t>
  </si>
  <si>
    <t>Netzwerk - Karte (Summe aller Ports)</t>
  </si>
  <si>
    <t>Tabelle 12: Performance - Kennzahlen</t>
  </si>
  <si>
    <t>ggf. Performance - Kennzahl (z.B. SSJOPS)</t>
  </si>
  <si>
    <t>Netzwerk - Karte (pro Port)</t>
  </si>
  <si>
    <t xml:space="preserve">Hardware - </t>
  </si>
  <si>
    <t>Permanentspeicher (SSD / HDD)</t>
  </si>
  <si>
    <t>W (input)</t>
  </si>
  <si>
    <t>GHz*bit (input)</t>
  </si>
  <si>
    <t>TFLOPS (input)</t>
  </si>
  <si>
    <t>Gigabyte (input)</t>
  </si>
  <si>
    <t>Megabit/s (input)</t>
  </si>
  <si>
    <t xml:space="preserve"> (input)</t>
  </si>
  <si>
    <t>a (input)</t>
  </si>
  <si>
    <t>for ei in ["CED", "GWP", "ADP", "Water"]:</t>
  </si>
  <si>
    <t>Werte nicht ermittelt / nicht anwendbar</t>
  </si>
  <si>
    <t xml:space="preserve">  EI_ei = eval("EI_" + ei)</t>
  </si>
  <si>
    <t xml:space="preserve">  if EI_ei &lt; 1:</t>
  </si>
  <si>
    <t xml:space="preserve">    print(f"EI_{ei} = {EI_ei:.2e}") # Exponent notation</t>
  </si>
  <si>
    <t xml:space="preserve">  else:</t>
  </si>
  <si>
    <t xml:space="preserve">    print(f"EI_{ei} = {EI_ei:.2f}") # Fixed-point notation</t>
  </si>
  <si>
    <t>Ökobilanz digitaler Dienstleistungen</t>
  </si>
  <si>
    <t>Methodik zur Bestimmung der Umweltwirkungen von Software, Cloud-</t>
  </si>
  <si>
    <t>Services und anderen digitalen Diensten in verteilten IT-Infrastrukturen</t>
  </si>
  <si>
    <t>Jens Gröger | Felix Behrens | Ran Liu | Dirk Bunke</t>
  </si>
  <si>
    <t>Beispielhafte Anwendung der Formeln</t>
  </si>
  <si>
    <t xml:space="preserve"> EI_GWP_co_embedded</t>
  </si>
  <si>
    <t xml:space="preserve"> EI_GWP_me_embedded</t>
  </si>
  <si>
    <t xml:space="preserve"> EI_GWP_st_embedded</t>
  </si>
  <si>
    <t xml:space="preserve"> EI_GWP_tr_embedded</t>
  </si>
  <si>
    <t xml:space="preserve"> EI_GWP_co</t>
  </si>
  <si>
    <t xml:space="preserve"> EI_GWP_me</t>
  </si>
  <si>
    <t xml:space="preserve"> EI_GWP_st</t>
  </si>
  <si>
    <t xml:space="preserve"> EI_GWP_tr</t>
  </si>
  <si>
    <t># Beispielhafte Detaildarstellung ADP</t>
  </si>
  <si>
    <t xml:space="preserve"> EI_ADP_co_embedded</t>
  </si>
  <si>
    <t xml:space="preserve"> EI_ADP_me_embedded</t>
  </si>
  <si>
    <t xml:space="preserve"> EI_ADP_st_embedded</t>
  </si>
  <si>
    <t xml:space="preserve"> EI_ADP_tr_embedded</t>
  </si>
  <si>
    <t xml:space="preserve"> EI_ADP_co</t>
  </si>
  <si>
    <t xml:space="preserve"> EI_ADP_me</t>
  </si>
  <si>
    <t xml:space="preserve"> EI_ADP_st</t>
  </si>
  <si>
    <t xml:space="preserve"> EI_ADP_tr</t>
  </si>
  <si>
    <t xml:space="preserve">EI_ADP_Sum = </t>
  </si>
  <si>
    <t># Darstellung der Ergebnisse Ausführung einer Software</t>
  </si>
  <si>
    <t>Methodenskizze v1.3 | 10.10.2024</t>
  </si>
  <si>
    <t>Text: Eindeutige Bezeichnung der Plattform (input)</t>
  </si>
  <si>
    <t>[1...5] (input)</t>
  </si>
  <si>
    <t>MJ (input)</t>
  </si>
  <si>
    <t>kg CO2 eq (input)</t>
  </si>
  <si>
    <t>kg Sb eq (input)</t>
  </si>
  <si>
    <t>m³ World eq (input)</t>
  </si>
  <si>
    <t>kg WEEE (input)</t>
  </si>
  <si>
    <t>kg MEG eq (input)</t>
  </si>
  <si>
    <t>Inputs (input)</t>
  </si>
  <si>
    <t># You can copy this code to a python file (and probably any other language)</t>
  </si>
  <si>
    <t xml:space="preserve">Dieses EXCEL-Dokument dient der Erläuterung der Formeln aus der o.g. Methodenskizze. Soweit sinnvoll, sind die mathematischen Formeln als Grafiken eingebunden und die Tabellen aus der Methodenskizze werden (ggf. mit abweichenden Werten) gezeigt. Eine Kopiervorlage für den Code erlaubt die Übernahme in ein eigenes Skript (z.B. Python, PHP, Javascript). </t>
  </si>
  <si>
    <t>Öko-Institut e.V., Berlin</t>
  </si>
  <si>
    <t>Borkumstraße 2, 13189 Berlin</t>
  </si>
  <si>
    <t>j.groeger(a)oeko.de</t>
  </si>
  <si>
    <t>www.oeko.de</t>
  </si>
  <si>
    <t>Autor des Berechnungstools</t>
  </si>
  <si>
    <t>Jens Gröger</t>
  </si>
  <si>
    <t>Legende</t>
  </si>
  <si>
    <t>https://www.oeko.de/publikation/oekobilanz-digitaler-dienstleistungen/</t>
  </si>
  <si>
    <t># Formeln</t>
  </si>
  <si>
    <t>Formeln zur Sichtbarmachung des Berechnungsweges und zur Übernahme in ein externes Skript. Diese Formeln werden auch im Tabellenblatt "Kopiervorlage" gesammelt dargestellt.</t>
  </si>
  <si>
    <t>Eingabewerte, die aus anderen Berechnungen (z.B. Hardware-Ökobilanzen) oder Messungen (Energieverbrauch, Auslastung) hierher übernommen werden. Wird die Berechnung in einem Skript ausgeführt, so sind dies die Eingabeparameter.</t>
  </si>
  <si>
    <t># Screen output (python only)</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</si>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</sst>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0%"/>
    <numFmt numFmtId="165" formatCode="0.0"/>
    <numFmt numFmtId="166" formatCode="0\ \W"/>
    <numFmt numFmtId="167" formatCode="0.0\ \W"/>
    <numFmt numFmtId="168" formatCode="0.000"/>
    <numFmt numFmtId="169" formatCode="0.0E+00"/>
  </numFmts>
  <fonts count="32" x14ac:knownFonts="1">
    <font>
      <sz val="11"/>
      <color theme="1"/>
      <name val="Calibri"/>
      <family val="2"/>
      <scheme val="minor"/>
    </font>
    <font>
      <sz val="10"/>
      <color theme="1"/>
      <name val="Arial"/>
      <family val="2"/>
    </font>
    <font>
      <b/>
      <sz val="9"/>
      <color theme="1"/>
      <name val="Calibri"/>
      <family val="2"/>
    </font>
    <font>
      <b/>
      <vertAlign val="subscript"/>
      <sz val="9"/>
      <color theme="1"/>
      <name val="Calibri"/>
      <family val="2"/>
    </font>
    <font>
      <b/>
      <sz val="9"/>
      <color rgb="FF000000"/>
      <name val="Calibri"/>
      <family val="2"/>
    </font>
    <font>
      <b/>
      <vertAlign val="subscript"/>
      <sz val="9"/>
      <color rgb="FF000000"/>
      <name val="Calibri"/>
      <family val="2"/>
    </font>
    <font>
      <sz val="9"/>
      <color rgb="FF000000"/>
      <name val="Calibri"/>
      <family val="2"/>
    </font>
    <font>
      <b/>
      <sz val="12"/>
      <color rgb="FF0070C0"/>
      <name val="Calibri"/>
      <family val="2"/>
      <scheme val="minor"/>
    </font>
    <font>
      <sz val="9"/>
      <color theme="1"/>
      <name val="Calibri"/>
      <family val="2"/>
    </font>
    <font>
      <sz val="9"/>
      <color rgb="FF000000"/>
      <name val="Symbol"/>
      <family val="1"/>
      <charset val="2"/>
    </font>
    <font>
      <vertAlign val="subscript"/>
      <sz val="9"/>
      <color rgb="FF000000"/>
      <name val="Calibri"/>
      <family val="2"/>
    </font>
    <font>
      <sz val="9"/>
      <color rgb="FF000000"/>
      <name val="Times New Roman"/>
      <family val="1"/>
    </font>
    <font>
      <b/>
      <sz val="10"/>
      <color theme="1"/>
      <name val="Arial"/>
      <family val="2"/>
    </font>
    <font>
      <vertAlign val="subscript"/>
      <sz val="10"/>
      <color theme="1"/>
      <name val="Arial"/>
      <family val="2"/>
    </font>
    <font>
      <sz val="11"/>
      <color theme="1"/>
      <name val="Arial"/>
      <family val="2"/>
    </font>
    <font>
      <b/>
      <sz val="9"/>
      <color rgb="FFFFFFFF"/>
      <name val="Calibri"/>
      <family val="2"/>
    </font>
    <font>
      <vertAlign val="subscript"/>
      <sz val="9"/>
      <color theme="1"/>
      <name val="Calibri"/>
      <family val="2"/>
    </font>
    <font>
      <sz val="11"/>
      <color theme="1"/>
      <name val="Calibri"/>
      <family val="2"/>
      <scheme val="minor"/>
    </font>
    <font>
      <b/>
      <sz val="11"/>
      <color theme="1"/>
      <name val="Calibri"/>
      <family val="2"/>
      <scheme val="minor"/>
    </font>
    <font>
      <b/>
      <sz val="10"/>
      <color theme="1"/>
      <name val="Calibri"/>
      <family val="2"/>
      <scheme val="minor"/>
    </font>
    <font>
      <b/>
      <sz val="14"/>
      <color theme="1"/>
      <name val="Calibri"/>
      <family val="2"/>
      <scheme val="minor"/>
    </font>
    <font>
      <vertAlign val="subscript"/>
      <sz val="9"/>
      <color theme="1"/>
      <name val="Calibri"/>
      <family val="2"/>
      <scheme val="minor"/>
    </font>
    <font>
      <b/>
      <sz val="16"/>
      <color rgb="FF0070C0"/>
      <name val="Calibri"/>
      <family val="2"/>
      <scheme val="minor"/>
    </font>
    <font>
      <sz val="11"/>
      <name val="Calibri"/>
      <family val="2"/>
      <scheme val="minor"/>
    </font>
    <font>
      <b/>
      <sz val="11"/>
      <name val="Calibri"/>
      <family val="2"/>
      <scheme val="minor"/>
    </font>
    <font>
      <b/>
      <sz val="11"/>
      <color rgb="FF006AA4"/>
      <name val="Arial"/>
      <family val="2"/>
    </font>
    <font>
      <sz val="10"/>
      <color theme="1"/>
      <name val="Consolas"/>
      <family val="3"/>
    </font>
    <font>
      <sz val="11"/>
      <color theme="1"/>
      <name val="Consolas"/>
      <family val="3"/>
    </font>
    <font>
      <sz val="18"/>
      <color rgb="FF006AA4"/>
      <name val="Arial"/>
      <family val="2"/>
    </font>
    <font>
      <sz val="14"/>
      <color theme="1"/>
      <name val="Arial"/>
      <family val="2"/>
    </font>
    <font>
      <b/>
      <i/>
      <sz val="11"/>
      <color theme="1"/>
      <name val="Calibri"/>
      <family val="2"/>
      <scheme val="minor"/>
    </font>
    <font>
      <u/>
      <sz val="11"/>
      <color theme="10"/>
      <name val="Calibri"/>
      <family val="2"/>
      <scheme val="minor"/>
    </font>
  </fonts>
  <fills count="9">
    <fill>
      <patternFill patternType="none"/>
    </fill>
    <fill>
      <patternFill patternType="gray125"/>
    </fill>
    <fill>
      <patternFill patternType="solid">
        <fgColor rgb="FF6586C3"/>
        <bgColor indexed="64"/>
      </patternFill>
    </fill>
    <fill>
      <patternFill patternType="solid">
        <fgColor rgb="FFE0E6F3"/>
        <bgColor indexed="64"/>
      </patternFill>
    </fill>
    <fill>
      <patternFill patternType="solid">
        <fgColor theme="0" tint="-0.14999847407452621"/>
        <bgColor indexed="64"/>
      </patternFill>
    </fill>
    <fill>
      <patternFill patternType="solid">
        <fgColor rgb="FFCCFFCC"/>
        <bgColor indexed="64"/>
      </patternFill>
    </fill>
    <fill>
      <patternFill patternType="solid">
        <fgColor rgb="FFD9D9D9"/>
        <bgColor indexed="64"/>
      </patternFill>
    </fill>
    <fill>
      <patternFill patternType="solid">
        <fgColor theme="0"/>
        <bgColor indexed="64"/>
      </patternFill>
    </fill>
    <fill>
      <patternFill patternType="solid">
        <fgColor theme="7"/>
        <bgColor indexed="64"/>
      </patternFill>
    </fill>
  </fills>
  <borders count="23">
    <border>
      <left/>
      <right/>
      <top/>
      <bottom/>
      <diagonal/>
    </border>
    <border>
      <left/>
      <right style="medium">
        <color rgb="FF868686"/>
      </right>
      <top/>
      <bottom style="thick">
        <color rgb="FF97BF0D"/>
      </bottom>
      <diagonal/>
    </border>
    <border>
      <left/>
      <right style="medium">
        <color rgb="FF868686"/>
      </right>
      <top/>
      <bottom/>
      <diagonal/>
    </border>
    <border>
      <left/>
      <right/>
      <top/>
      <bottom style="thick">
        <color rgb="FF97BF0D"/>
      </bottom>
      <diagonal/>
    </border>
    <border>
      <left/>
      <right style="medium">
        <color rgb="FF868686"/>
      </right>
      <top/>
      <bottom style="medium">
        <color rgb="FF868686"/>
      </bottom>
      <diagonal/>
    </border>
    <border>
      <left/>
      <right/>
      <top/>
      <bottom style="medium">
        <color rgb="FF868686"/>
      </bottom>
      <diagonal/>
    </border>
    <border>
      <left style="medium">
        <color rgb="FF868686"/>
      </left>
      <right style="medium">
        <color rgb="FF868686"/>
      </right>
      <top/>
      <bottom/>
      <diagonal/>
    </border>
    <border>
      <left style="medium">
        <color rgb="FF868686"/>
      </left>
      <right style="medium">
        <color rgb="FF868686"/>
      </right>
      <top/>
      <bottom style="thick">
        <color rgb="FF97BF0D"/>
      </bottom>
      <diagonal/>
    </border>
    <border>
      <left style="medium">
        <color rgb="FF868686"/>
      </left>
      <right/>
      <top/>
      <bottom/>
      <diagonal/>
    </border>
    <border>
      <left style="medium">
        <color rgb="FF868686"/>
      </left>
      <right/>
      <top/>
      <bottom style="thick">
        <color rgb="FF97BF0D"/>
      </bottom>
      <diagonal/>
    </border>
    <border>
      <left/>
      <right style="medium">
        <color rgb="FF868686"/>
      </right>
      <top style="medium">
        <color rgb="FF868686"/>
      </top>
      <bottom/>
      <diagonal/>
    </border>
    <border>
      <left style="medium">
        <color rgb="FF868686"/>
      </left>
      <right style="medium">
        <color rgb="FF868686"/>
      </right>
      <top style="medium">
        <color rgb="FF868686"/>
      </top>
      <bottom/>
      <diagonal/>
    </border>
    <border>
      <left style="medium">
        <color rgb="FF868686"/>
      </left>
      <right style="medium">
        <color rgb="FF868686"/>
      </right>
      <top/>
      <bottom style="medium">
        <color rgb="FF868686"/>
      </bottom>
      <diagonal/>
    </border>
    <border>
      <left style="medium">
        <color rgb="FF868686"/>
      </left>
      <right/>
      <top style="medium">
        <color rgb="FF868686"/>
      </top>
      <bottom/>
      <diagonal/>
    </border>
    <border>
      <left style="medium">
        <color rgb="FF868686"/>
      </left>
      <right/>
      <top/>
      <bottom style="medium">
        <color rgb="FF868686"/>
      </bottom>
      <diagonal/>
    </border>
    <border>
      <left style="medium">
        <color rgb="FF6586C3"/>
      </left>
      <right/>
      <top style="medium">
        <color rgb="FF6586C3"/>
      </top>
      <bottom style="medium">
        <color rgb="FF6586C3"/>
      </bottom>
      <diagonal/>
    </border>
    <border>
      <left/>
      <right/>
      <top style="medium">
        <color rgb="FF6586C3"/>
      </top>
      <bottom style="medium">
        <color rgb="FF6586C3"/>
      </bottom>
      <diagonal/>
    </border>
    <border>
      <left/>
      <right style="medium">
        <color rgb="FF6586C3"/>
      </right>
      <top style="medium">
        <color rgb="FF6586C3"/>
      </top>
      <bottom style="medium">
        <color rgb="FF6586C3"/>
      </bottom>
      <diagonal/>
    </border>
    <border>
      <left style="medium">
        <color rgb="FFA2B6DB"/>
      </left>
      <right style="medium">
        <color rgb="FFA2B6DB"/>
      </right>
      <top/>
      <bottom style="medium">
        <color rgb="FFA2B6DB"/>
      </bottom>
      <diagonal/>
    </border>
    <border>
      <left/>
      <right style="medium">
        <color rgb="FFA2B6DB"/>
      </right>
      <top/>
      <bottom style="medium">
        <color rgb="FFA2B6DB"/>
      </bottom>
      <diagonal/>
    </border>
    <border>
      <left style="medium">
        <color rgb="FFA2B6DB"/>
      </left>
      <right/>
      <top style="medium">
        <color rgb="FFA2B6DB"/>
      </top>
      <bottom style="medium">
        <color rgb="FFA2B6DB"/>
      </bottom>
      <diagonal/>
    </border>
    <border>
      <left/>
      <right style="medium">
        <color rgb="FFA2B6DB"/>
      </right>
      <top style="medium">
        <color rgb="FFA2B6DB"/>
      </top>
      <bottom style="medium">
        <color rgb="FFA2B6DB"/>
      </bottom>
      <diagonal/>
    </border>
    <border>
      <left/>
      <right/>
      <top/>
      <bottom style="thin">
        <color indexed="64"/>
      </bottom>
      <diagonal/>
    </border>
  </borders>
  <cellStyleXfs count="3">
    <xf numFmtId="0" fontId="0" fillId="0" borderId="0"/>
    <xf numFmtId="9" fontId="17" fillId="0" borderId="0" applyFont="0" applyFill="0" applyBorder="0" applyAlignment="0" applyProtection="0"/>
    <xf numFmtId="0" fontId="31" fillId="0" borderId="0" applyNumberFormat="0" applyFill="0" applyBorder="0" applyAlignment="0" applyProtection="0"/>
  </cellStyleXfs>
  <cellXfs count="143">
    <xf numFmtId="0" fontId="0" fillId="0" borderId="0" xfId="0"/>
    <xf numFmtId="0" fontId="2" fillId="0" borderId="2" xfId="0" applyFont="1" applyBorder="1" applyAlignment="1">
      <alignment vertical="center" wrapText="1"/>
    </xf>
    <xf numFmtId="0" fontId="2" fillId="0" borderId="1" xfId="0" applyFont="1" applyBorder="1" applyAlignment="1">
      <alignment vertical="center" wrapText="1"/>
    </xf>
    <xf numFmtId="0" fontId="4" fillId="0" borderId="0" xfId="0" applyFont="1" applyAlignment="1">
      <alignment vertical="center" wrapText="1"/>
    </xf>
    <xf numFmtId="0" fontId="4" fillId="0" borderId="3" xfId="0" applyFont="1" applyBorder="1" applyAlignment="1">
      <alignment vertical="center" wrapText="1"/>
    </xf>
    <xf numFmtId="0" fontId="6" fillId="0" borderId="4" xfId="0" applyFont="1" applyBorder="1" applyAlignment="1">
      <alignment vertical="center" wrapText="1"/>
    </xf>
    <xf numFmtId="0" fontId="6" fillId="0" borderId="4" xfId="0" applyFont="1" applyBorder="1" applyAlignment="1">
      <alignment horizontal="right" vertical="center" wrapText="1"/>
    </xf>
    <xf numFmtId="9" fontId="6" fillId="0" borderId="4" xfId="0" applyNumberFormat="1" applyFont="1" applyBorder="1" applyAlignment="1">
      <alignment horizontal="center" vertical="center" wrapText="1"/>
    </xf>
    <xf numFmtId="0" fontId="6" fillId="0" borderId="5" xfId="0" applyFont="1" applyBorder="1" applyAlignment="1">
      <alignment horizontal="center" vertical="center" wrapText="1"/>
    </xf>
    <xf numFmtId="3" fontId="6" fillId="0" borderId="4" xfId="0" applyNumberFormat="1" applyFont="1" applyBorder="1" applyAlignment="1">
      <alignment horizontal="right" vertical="center" wrapText="1"/>
    </xf>
    <xf numFmtId="0" fontId="7" fillId="0" borderId="0" xfId="0" applyFont="1"/>
    <xf numFmtId="0" fontId="6" fillId="0" borderId="4" xfId="0" applyFont="1" applyBorder="1" applyAlignment="1">
      <alignment horizontal="center" vertical="center" wrapText="1"/>
    </xf>
    <xf numFmtId="0" fontId="6" fillId="0" borderId="1" xfId="0" applyFont="1" applyBorder="1" applyAlignment="1">
      <alignment vertical="center" wrapText="1"/>
    </xf>
    <xf numFmtId="0" fontId="6" fillId="0" borderId="1" xfId="0" applyFont="1" applyBorder="1" applyAlignment="1">
      <alignment horizontal="center" vertical="center" wrapText="1"/>
    </xf>
    <xf numFmtId="0" fontId="6" fillId="0" borderId="3" xfId="0" applyFont="1" applyBorder="1" applyAlignment="1">
      <alignment horizontal="center" vertical="center" wrapText="1"/>
    </xf>
    <xf numFmtId="0" fontId="9" fillId="0" borderId="2" xfId="0" applyFont="1" applyBorder="1" applyAlignment="1">
      <alignment horizontal="center" vertical="center" wrapText="1"/>
    </xf>
    <xf numFmtId="0" fontId="6" fillId="0" borderId="2" xfId="0" applyFont="1" applyBorder="1" applyAlignment="1">
      <alignment horizontal="center" vertical="center" wrapText="1"/>
    </xf>
    <xf numFmtId="0" fontId="0" fillId="0" borderId="4" xfId="0" applyBorder="1" applyAlignment="1">
      <alignment vertical="top" wrapText="1"/>
    </xf>
    <xf numFmtId="0" fontId="6" fillId="0" borderId="4" xfId="0" applyFont="1" applyBorder="1" applyAlignment="1">
      <alignment vertical="center" wrapText="1"/>
    </xf>
    <xf numFmtId="0" fontId="12" fillId="0" borderId="5" xfId="0" applyFont="1" applyBorder="1" applyAlignment="1">
      <alignment vertical="center" wrapText="1"/>
    </xf>
    <xf numFmtId="0" fontId="1" fillId="0" borderId="5" xfId="0" applyFont="1" applyBorder="1" applyAlignment="1">
      <alignment horizontal="right" vertical="center" wrapText="1"/>
    </xf>
    <xf numFmtId="0" fontId="12" fillId="0" borderId="3" xfId="0" applyFont="1" applyBorder="1" applyAlignment="1">
      <alignment horizontal="right" vertical="center" wrapText="1"/>
    </xf>
    <xf numFmtId="0" fontId="12" fillId="0" borderId="3" xfId="0" applyFont="1" applyBorder="1" applyAlignment="1">
      <alignment vertical="center" wrapText="1"/>
    </xf>
    <xf numFmtId="0" fontId="4" fillId="0" borderId="2" xfId="0" applyFont="1" applyBorder="1" applyAlignment="1">
      <alignment horizontal="right" vertical="center" wrapText="1"/>
    </xf>
    <xf numFmtId="0" fontId="4" fillId="0" borderId="1" xfId="0" applyFont="1" applyBorder="1" applyAlignment="1">
      <alignment horizontal="right" vertical="center" wrapText="1"/>
    </xf>
    <xf numFmtId="0" fontId="6" fillId="0" borderId="5" xfId="0" applyFont="1" applyBorder="1" applyAlignment="1">
      <alignment horizontal="right" vertical="center" wrapText="1"/>
    </xf>
    <xf numFmtId="0" fontId="4" fillId="0" borderId="1" xfId="0" applyFont="1" applyBorder="1" applyAlignment="1">
      <alignment vertical="center" wrapText="1"/>
    </xf>
    <xf numFmtId="0" fontId="4" fillId="0" borderId="9" xfId="0" applyFont="1" applyBorder="1" applyAlignment="1">
      <alignment vertical="center" wrapText="1"/>
    </xf>
    <xf numFmtId="0" fontId="6" fillId="0" borderId="10" xfId="0" applyFont="1" applyBorder="1" applyAlignment="1">
      <alignment vertical="center" wrapText="1"/>
    </xf>
    <xf numFmtId="0" fontId="6" fillId="0" borderId="2" xfId="0" applyFont="1" applyBorder="1" applyAlignment="1">
      <alignment vertical="center" wrapText="1"/>
    </xf>
    <xf numFmtId="0" fontId="6" fillId="0" borderId="4" xfId="0" applyFont="1" applyBorder="1" applyAlignment="1">
      <alignment vertical="center" wrapText="1"/>
    </xf>
    <xf numFmtId="0" fontId="4" fillId="0" borderId="7" xfId="0" applyFont="1" applyBorder="1" applyAlignment="1">
      <alignment vertical="center" wrapText="1"/>
    </xf>
    <xf numFmtId="0" fontId="4" fillId="2" borderId="15" xfId="0" applyFont="1" applyFill="1" applyBorder="1" applyAlignment="1">
      <alignment vertical="center"/>
    </xf>
    <xf numFmtId="0" fontId="4" fillId="2" borderId="16" xfId="0" applyFont="1" applyFill="1" applyBorder="1" applyAlignment="1">
      <alignment vertical="center"/>
    </xf>
    <xf numFmtId="0" fontId="4" fillId="2" borderId="17" xfId="0" applyFont="1" applyFill="1" applyBorder="1" applyAlignment="1">
      <alignment horizontal="center" vertical="center"/>
    </xf>
    <xf numFmtId="0" fontId="4" fillId="3" borderId="18" xfId="0" applyFont="1" applyFill="1" applyBorder="1" applyAlignment="1">
      <alignment horizontal="left" vertical="center" indent="1"/>
    </xf>
    <xf numFmtId="0" fontId="14" fillId="3" borderId="19" xfId="0" applyFont="1" applyFill="1" applyBorder="1" applyAlignment="1">
      <alignment vertical="top"/>
    </xf>
    <xf numFmtId="0" fontId="4" fillId="0" borderId="18" xfId="0" applyFont="1" applyBorder="1" applyAlignment="1">
      <alignment horizontal="left" vertical="center" indent="2"/>
    </xf>
    <xf numFmtId="0" fontId="6" fillId="0" borderId="19" xfId="0" applyFont="1" applyBorder="1" applyAlignment="1">
      <alignment vertical="center"/>
    </xf>
    <xf numFmtId="0" fontId="6" fillId="0" borderId="19" xfId="0" applyFont="1" applyBorder="1" applyAlignment="1">
      <alignment horizontal="center" vertical="center"/>
    </xf>
    <xf numFmtId="0" fontId="4" fillId="3" borderId="18" xfId="0" applyFont="1" applyFill="1" applyBorder="1" applyAlignment="1">
      <alignment horizontal="left" vertical="center" indent="2"/>
    </xf>
    <xf numFmtId="0" fontId="6" fillId="3" borderId="19" xfId="0" applyFont="1" applyFill="1" applyBorder="1" applyAlignment="1">
      <alignment vertical="center"/>
    </xf>
    <xf numFmtId="0" fontId="6" fillId="3" borderId="19" xfId="0" applyFont="1" applyFill="1" applyBorder="1" applyAlignment="1">
      <alignment horizontal="center" vertical="center"/>
    </xf>
    <xf numFmtId="0" fontId="4" fillId="0" borderId="18" xfId="0" applyFont="1" applyBorder="1" applyAlignment="1">
      <alignment horizontal="left" vertical="center" indent="1"/>
    </xf>
    <xf numFmtId="0" fontId="14" fillId="0" borderId="19" xfId="0" applyFont="1" applyBorder="1" applyAlignment="1">
      <alignment vertical="top"/>
    </xf>
    <xf numFmtId="0" fontId="15" fillId="2" borderId="15" xfId="0" applyFont="1" applyFill="1" applyBorder="1" applyAlignment="1">
      <alignment vertical="center"/>
    </xf>
    <xf numFmtId="0" fontId="15" fillId="2" borderId="16" xfId="0" applyFont="1" applyFill="1" applyBorder="1" applyAlignment="1">
      <alignment vertical="center"/>
    </xf>
    <xf numFmtId="0" fontId="15" fillId="2" borderId="17" xfId="0" applyFont="1" applyFill="1" applyBorder="1" applyAlignment="1">
      <alignment vertical="center"/>
    </xf>
    <xf numFmtId="0" fontId="8" fillId="0" borderId="18" xfId="0" applyFont="1" applyBorder="1" applyAlignment="1">
      <alignment horizontal="left" vertical="center" indent="2"/>
    </xf>
    <xf numFmtId="0" fontId="6" fillId="3" borderId="18" xfId="0" applyFont="1" applyFill="1" applyBorder="1" applyAlignment="1">
      <alignment horizontal="left" vertical="center" indent="2"/>
    </xf>
    <xf numFmtId="0" fontId="19" fillId="0" borderId="0" xfId="0" applyFont="1"/>
    <xf numFmtId="2" fontId="0" fillId="0" borderId="0" xfId="0" applyNumberFormat="1"/>
    <xf numFmtId="0" fontId="0" fillId="0" borderId="22" xfId="0" applyBorder="1"/>
    <xf numFmtId="0" fontId="19" fillId="0" borderId="22" xfId="0" applyFont="1" applyBorder="1"/>
    <xf numFmtId="2" fontId="19" fillId="0" borderId="22" xfId="0" applyNumberFormat="1" applyFont="1" applyBorder="1"/>
    <xf numFmtId="2" fontId="19" fillId="0" borderId="0" xfId="0" applyNumberFormat="1" applyFont="1"/>
    <xf numFmtId="164" fontId="0" fillId="0" borderId="0" xfId="1" applyNumberFormat="1" applyFont="1"/>
    <xf numFmtId="164" fontId="0" fillId="0" borderId="0" xfId="0" applyNumberFormat="1"/>
    <xf numFmtId="11" fontId="0" fillId="0" borderId="0" xfId="0" applyNumberFormat="1"/>
    <xf numFmtId="0" fontId="18" fillId="0" borderId="0" xfId="0" applyFont="1"/>
    <xf numFmtId="0" fontId="20" fillId="0" borderId="0" xfId="0" applyFont="1"/>
    <xf numFmtId="0" fontId="0" fillId="4" borderId="0" xfId="0" applyFill="1"/>
    <xf numFmtId="164" fontId="0" fillId="0" borderId="0" xfId="1" quotePrefix="1" applyNumberFormat="1" applyFont="1"/>
    <xf numFmtId="1" fontId="6" fillId="0" borderId="4" xfId="0" applyNumberFormat="1" applyFont="1" applyBorder="1" applyAlignment="1">
      <alignment horizontal="center" vertical="center" wrapText="1"/>
    </xf>
    <xf numFmtId="1" fontId="6" fillId="0" borderId="1" xfId="0" applyNumberFormat="1" applyFont="1" applyBorder="1" applyAlignment="1">
      <alignment horizontal="center" vertical="center" wrapText="1"/>
    </xf>
    <xf numFmtId="9" fontId="6" fillId="0" borderId="4" xfId="1" applyFont="1" applyBorder="1" applyAlignment="1">
      <alignment horizontal="center" vertical="center" wrapText="1"/>
    </xf>
    <xf numFmtId="164" fontId="6" fillId="0" borderId="4" xfId="1" applyNumberFormat="1" applyFont="1" applyBorder="1" applyAlignment="1">
      <alignment horizontal="center" vertical="center" wrapText="1"/>
    </xf>
    <xf numFmtId="1" fontId="9" fillId="0" borderId="4" xfId="0" applyNumberFormat="1" applyFont="1" applyBorder="1" applyAlignment="1">
      <alignment horizontal="center" vertical="center" wrapText="1"/>
    </xf>
    <xf numFmtId="9" fontId="9" fillId="0" borderId="4" xfId="1" applyFont="1" applyBorder="1" applyAlignment="1">
      <alignment horizontal="center" vertical="center" wrapText="1"/>
    </xf>
    <xf numFmtId="0" fontId="22" fillId="0" borderId="0" xfId="0" applyFont="1"/>
    <xf numFmtId="0" fontId="18" fillId="4" borderId="0" xfId="0" applyFont="1" applyFill="1"/>
    <xf numFmtId="0" fontId="0" fillId="5" borderId="0" xfId="0" applyFill="1"/>
    <xf numFmtId="11" fontId="0" fillId="5" borderId="0" xfId="0" applyNumberFormat="1" applyFill="1"/>
    <xf numFmtId="0" fontId="18" fillId="5" borderId="0" xfId="0" applyFont="1" applyFill="1" applyAlignment="1">
      <alignment horizontal="right"/>
    </xf>
    <xf numFmtId="0" fontId="0" fillId="0" borderId="0" xfId="0" applyFont="1"/>
    <xf numFmtId="0" fontId="23" fillId="0" borderId="0" xfId="0" applyFont="1"/>
    <xf numFmtId="0" fontId="24" fillId="0" borderId="0" xfId="0" applyFont="1"/>
    <xf numFmtId="0" fontId="11" fillId="0" borderId="11" xfId="0" applyFont="1" applyBorder="1" applyAlignment="1">
      <alignment vertical="center" wrapText="1"/>
    </xf>
    <xf numFmtId="0" fontId="11" fillId="0" borderId="6" xfId="0" applyFont="1" applyBorder="1" applyAlignment="1">
      <alignment vertical="center" wrapText="1"/>
    </xf>
    <xf numFmtId="0" fontId="11" fillId="0" borderId="12" xfId="0" applyFont="1" applyBorder="1" applyAlignment="1">
      <alignment vertical="center" wrapText="1"/>
    </xf>
    <xf numFmtId="0" fontId="9" fillId="0" borderId="11" xfId="0" applyFont="1" applyBorder="1" applyAlignment="1">
      <alignment vertical="center" wrapText="1"/>
    </xf>
    <xf numFmtId="0" fontId="9" fillId="0" borderId="6" xfId="0" applyFont="1" applyBorder="1" applyAlignment="1">
      <alignment vertical="center" wrapText="1"/>
    </xf>
    <xf numFmtId="0" fontId="9" fillId="0" borderId="12" xfId="0" applyFont="1" applyBorder="1" applyAlignment="1">
      <alignment vertical="center" wrapText="1"/>
    </xf>
    <xf numFmtId="0" fontId="6" fillId="0" borderId="13" xfId="0" applyFont="1" applyBorder="1" applyAlignment="1">
      <alignment vertical="center" wrapText="1"/>
    </xf>
    <xf numFmtId="0" fontId="6" fillId="0" borderId="8" xfId="0" applyFont="1" applyBorder="1" applyAlignment="1">
      <alignment vertical="center" wrapText="1"/>
    </xf>
    <xf numFmtId="0" fontId="6" fillId="0" borderId="14" xfId="0" applyFont="1" applyBorder="1" applyAlignment="1">
      <alignment vertical="center" wrapText="1"/>
    </xf>
    <xf numFmtId="166" fontId="6" fillId="0" borderId="4" xfId="0" applyNumberFormat="1" applyFont="1" applyBorder="1" applyAlignment="1">
      <alignment horizontal="center" vertical="center" wrapText="1"/>
    </xf>
    <xf numFmtId="166" fontId="6" fillId="0" borderId="2" xfId="0" applyNumberFormat="1" applyFont="1" applyBorder="1" applyAlignment="1">
      <alignment horizontal="center" vertical="center" wrapText="1"/>
    </xf>
    <xf numFmtId="0" fontId="23" fillId="5" borderId="0" xfId="0" applyFont="1" applyFill="1"/>
    <xf numFmtId="9" fontId="0" fillId="0" borderId="0" xfId="1" applyFont="1"/>
    <xf numFmtId="165" fontId="0" fillId="0" borderId="0" xfId="0" applyNumberFormat="1"/>
    <xf numFmtId="167" fontId="6" fillId="0" borderId="4" xfId="0" applyNumberFormat="1" applyFont="1" applyBorder="1" applyAlignment="1">
      <alignment horizontal="center" vertical="center" wrapText="1"/>
    </xf>
    <xf numFmtId="3" fontId="0" fillId="5" borderId="0" xfId="0" applyNumberFormat="1" applyFill="1"/>
    <xf numFmtId="9" fontId="0" fillId="5" borderId="0" xfId="0" applyNumberFormat="1" applyFill="1"/>
    <xf numFmtId="9" fontId="6" fillId="0" borderId="19" xfId="1" applyFont="1" applyBorder="1" applyAlignment="1">
      <alignment vertical="center"/>
    </xf>
    <xf numFmtId="9" fontId="6" fillId="3" borderId="19" xfId="1" applyFont="1" applyFill="1" applyBorder="1" applyAlignment="1">
      <alignment vertical="center"/>
    </xf>
    <xf numFmtId="0" fontId="0" fillId="0" borderId="0" xfId="0" applyNumberFormat="1"/>
    <xf numFmtId="0" fontId="0" fillId="0" borderId="0" xfId="0" applyBorder="1"/>
    <xf numFmtId="0" fontId="19" fillId="0" borderId="0" xfId="0" applyFont="1" applyBorder="1"/>
    <xf numFmtId="2" fontId="19" fillId="0" borderId="0" xfId="0" applyNumberFormat="1" applyFont="1" applyBorder="1"/>
    <xf numFmtId="166" fontId="6" fillId="0" borderId="4" xfId="0" applyNumberFormat="1" applyFont="1" applyBorder="1" applyAlignment="1">
      <alignment horizontal="right" vertical="center" wrapText="1"/>
    </xf>
    <xf numFmtId="0" fontId="25" fillId="0" borderId="0" xfId="0" applyFont="1" applyAlignment="1">
      <alignment horizontal="left" vertical="center" indent="13"/>
    </xf>
    <xf numFmtId="0" fontId="26" fillId="0" borderId="0" xfId="0" applyFont="1" applyAlignment="1">
      <alignment horizontal="justify" vertical="center"/>
    </xf>
    <xf numFmtId="0" fontId="27" fillId="0" borderId="0" xfId="0" applyFont="1"/>
    <xf numFmtId="0" fontId="27" fillId="6" borderId="0" xfId="0" applyFont="1" applyFill="1"/>
    <xf numFmtId="0" fontId="18" fillId="6" borderId="0" xfId="0" applyFont="1" applyFill="1"/>
    <xf numFmtId="1" fontId="0" fillId="5" borderId="0" xfId="1" applyNumberFormat="1" applyFont="1" applyFill="1"/>
    <xf numFmtId="0" fontId="12" fillId="0" borderId="0" xfId="0" applyFont="1" applyAlignment="1">
      <alignment vertical="center" wrapText="1"/>
    </xf>
    <xf numFmtId="0" fontId="12" fillId="0" borderId="0" xfId="0" applyFont="1" applyAlignment="1">
      <alignment horizontal="right" vertical="center" wrapText="1"/>
    </xf>
    <xf numFmtId="0" fontId="12" fillId="0" borderId="0" xfId="0" applyFont="1" applyFill="1" applyBorder="1" applyAlignment="1">
      <alignment vertical="center"/>
    </xf>
    <xf numFmtId="0" fontId="0" fillId="0" borderId="0" xfId="0" applyAlignment="1"/>
    <xf numFmtId="0" fontId="18" fillId="0" borderId="0" xfId="0" applyFont="1" applyAlignment="1"/>
    <xf numFmtId="11" fontId="1" fillId="0" borderId="5" xfId="0" applyNumberFormat="1" applyFont="1" applyBorder="1" applyAlignment="1">
      <alignment horizontal="right" vertical="center" wrapText="1"/>
    </xf>
    <xf numFmtId="11" fontId="0" fillId="0" borderId="0" xfId="0" applyNumberFormat="1" applyAlignment="1"/>
    <xf numFmtId="168" fontId="0" fillId="0" borderId="0" xfId="0" applyNumberFormat="1"/>
    <xf numFmtId="165" fontId="18" fillId="0" borderId="0" xfId="0" applyNumberFormat="1" applyFont="1"/>
    <xf numFmtId="169" fontId="18" fillId="0" borderId="0" xfId="0" applyNumberFormat="1" applyFont="1"/>
    <xf numFmtId="0" fontId="18" fillId="5" borderId="0" xfId="0" applyFont="1" applyFill="1" applyAlignment="1">
      <alignment horizontal="left"/>
    </xf>
    <xf numFmtId="0" fontId="18" fillId="7" borderId="22" xfId="0" applyFont="1" applyFill="1" applyBorder="1"/>
    <xf numFmtId="0" fontId="0" fillId="7" borderId="0" xfId="0" applyFill="1"/>
    <xf numFmtId="0" fontId="28" fillId="7" borderId="0" xfId="0" applyFont="1" applyFill="1" applyAlignment="1">
      <alignment vertical="center"/>
    </xf>
    <xf numFmtId="0" fontId="29" fillId="7" borderId="0" xfId="0" applyFont="1" applyFill="1" applyAlignment="1">
      <alignment vertical="center"/>
    </xf>
    <xf numFmtId="0" fontId="14" fillId="7" borderId="0" xfId="0" applyFont="1" applyFill="1"/>
    <xf numFmtId="0" fontId="0" fillId="7" borderId="0" xfId="0" applyFill="1" applyAlignment="1">
      <alignment wrapText="1"/>
    </xf>
    <xf numFmtId="0" fontId="30" fillId="7" borderId="0" xfId="0" applyFont="1" applyFill="1"/>
    <xf numFmtId="0" fontId="31" fillId="7" borderId="0" xfId="2" applyFill="1"/>
    <xf numFmtId="0" fontId="25" fillId="7" borderId="0" xfId="0" applyFont="1" applyFill="1" applyAlignment="1">
      <alignment vertical="center"/>
    </xf>
    <xf numFmtId="0" fontId="27" fillId="7" borderId="0" xfId="0" applyFont="1" applyFill="1"/>
    <xf numFmtId="0" fontId="1" fillId="8" borderId="5" xfId="0" applyFont="1" applyFill="1" applyBorder="1" applyAlignment="1">
      <alignment horizontal="right" vertical="center" wrapText="1"/>
    </xf>
    <xf numFmtId="0" fontId="0" fillId="8" borderId="0" xfId="0" applyFill="1"/>
    <xf numFmtId="0" fontId="27" fillId="0" borderId="0" xfId="0" quotePrefix="1" applyFont="1"/>
    <xf numFmtId="0" fontId="2" fillId="0" borderId="6" xfId="0" applyFont="1" applyBorder="1" applyAlignment="1">
      <alignment vertical="center" wrapText="1"/>
    </xf>
    <xf numFmtId="0" fontId="2" fillId="0" borderId="7" xfId="0" applyFont="1" applyBorder="1" applyAlignment="1">
      <alignment vertical="center" wrapText="1"/>
    </xf>
    <xf numFmtId="0" fontId="2" fillId="0" borderId="8" xfId="0" applyFont="1" applyBorder="1" applyAlignment="1">
      <alignment vertical="center" wrapText="1"/>
    </xf>
    <xf numFmtId="0" fontId="2" fillId="0" borderId="9" xfId="0" applyFont="1" applyBorder="1" applyAlignment="1">
      <alignment vertical="center" wrapText="1"/>
    </xf>
    <xf numFmtId="0" fontId="4" fillId="3" borderId="20" xfId="0" applyFont="1" applyFill="1" applyBorder="1" applyAlignment="1">
      <alignment horizontal="left" vertical="center" indent="1"/>
    </xf>
    <xf numFmtId="0" fontId="4" fillId="3" borderId="21" xfId="0" applyFont="1" applyFill="1" applyBorder="1" applyAlignment="1">
      <alignment horizontal="left" vertical="center" indent="1"/>
    </xf>
    <xf numFmtId="0" fontId="4" fillId="0" borderId="2" xfId="0" applyFont="1" applyBorder="1" applyAlignment="1">
      <alignment vertical="center" wrapText="1"/>
    </xf>
    <xf numFmtId="0" fontId="4" fillId="0" borderId="1" xfId="0" applyFont="1" applyBorder="1" applyAlignment="1">
      <alignment vertical="center" wrapText="1"/>
    </xf>
    <xf numFmtId="0" fontId="4" fillId="0" borderId="6" xfId="0" applyFont="1" applyBorder="1" applyAlignment="1">
      <alignment horizontal="right" vertical="center" wrapText="1"/>
    </xf>
    <xf numFmtId="0" fontId="4" fillId="0" borderId="7" xfId="0" applyFont="1" applyBorder="1" applyAlignment="1">
      <alignment horizontal="right" vertical="center" wrapText="1"/>
    </xf>
    <xf numFmtId="0" fontId="4" fillId="0" borderId="8" xfId="0" applyFont="1" applyBorder="1" applyAlignment="1">
      <alignment horizontal="right" vertical="center" wrapText="1"/>
    </xf>
    <xf numFmtId="0" fontId="4" fillId="0" borderId="9" xfId="0" applyFont="1" applyBorder="1" applyAlignment="1">
      <alignment horizontal="right" vertical="center" wrapText="1"/>
    </xf>
  </cellXfs>
  <cellStyles count="3">
    <cellStyle name="Link" xfId="2" builtinId="8"/>
    <cellStyle name="Prozent" xfId="1" builtinId="5"/>
    <cellStyle name="Standard" xfId="0" builtinId="0"/>
  </cellStyles>
  <dxfs count="0"/>
  <tableStyles count="0" defaultTableStyle="TableStyleMedium2" defaultPivotStyle="PivotStyleLight16"/>
  <colors>
    <mruColors>
      <color rgb="FFCCFFCC"/>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Grafiken!$B$14:$D$14</c:f>
          <c:strCache>
            <c:ptCount val="3"/>
            <c:pt idx="0">
              <c:v>EI_GWP_Sum = </c:v>
            </c:pt>
            <c:pt idx="1">
              <c:v>1,2</c:v>
            </c:pt>
            <c:pt idx="2">
              <c:v>kg CO2 eq</c:v>
            </c:pt>
          </c:strCache>
        </c:strRef>
      </c:tx>
      <c:overlay val="0"/>
      <c:spPr>
        <a:noFill/>
        <a:ln>
          <a:noFill/>
        </a:ln>
        <a:effectLst/>
      </c:spPr>
      <c:txPr>
        <a:bodyPr rot="0" spcFirstLastPara="1" vertOverflow="ellipsis" vert="horz" wrap="square" anchor="ctr" anchorCtr="1"/>
        <a:lstStyle/>
        <a:p>
          <a:pPr>
            <a:defRPr sz="1400" b="0" i="0" u="none" strike="noStrike" kern="1200" cap="none" spc="50" baseline="0">
              <a:solidFill>
                <a:schemeClr val="lt1">
                  <a:lumMod val="85000"/>
                </a:schemeClr>
              </a:solidFill>
              <a:latin typeface="+mn-lt"/>
              <a:ea typeface="+mn-ea"/>
              <a:cs typeface="+mn-cs"/>
            </a:defRPr>
          </a:pPr>
          <a:endParaRPr lang="de-DE"/>
        </a:p>
      </c:txPr>
    </c:title>
    <c:autoTitleDeleted val="0"/>
    <c:plotArea>
      <c:layout/>
      <c:radarChart>
        <c:radarStyle val="marker"/>
        <c:varyColors val="0"/>
        <c:ser>
          <c:idx val="0"/>
          <c:order val="0"/>
          <c:spPr>
            <a:ln w="28575" cap="rnd">
              <a:solidFill>
                <a:schemeClr val="accent1"/>
              </a:solidFill>
            </a:ln>
            <a:effectLst>
              <a:glow rad="76200">
                <a:schemeClr val="accent1">
                  <a:satMod val="175000"/>
                  <a:alpha val="34000"/>
                </a:schemeClr>
              </a:glow>
            </a:effectLst>
          </c:spPr>
          <c:marker>
            <c:symbol val="none"/>
          </c:marker>
          <c:dPt>
            <c:idx val="0"/>
            <c:marker>
              <c:symbol val="none"/>
            </c:marker>
            <c:bubble3D val="0"/>
            <c:extLst>
              <c:ext xmlns:c16="http://schemas.microsoft.com/office/drawing/2014/chart" uri="{C3380CC4-5D6E-409C-BE32-E72D297353CC}">
                <c16:uniqueId val="{00000000-8F71-4C10-9FED-2BC5B7D889C7}"/>
              </c:ext>
            </c:extLst>
          </c:dPt>
          <c:dPt>
            <c:idx val="1"/>
            <c:marker>
              <c:symbol val="none"/>
            </c:marker>
            <c:bubble3D val="0"/>
            <c:extLst>
              <c:ext xmlns:c16="http://schemas.microsoft.com/office/drawing/2014/chart" uri="{C3380CC4-5D6E-409C-BE32-E72D297353CC}">
                <c16:uniqueId val="{00000001-8F71-4C10-9FED-2BC5B7D889C7}"/>
              </c:ext>
            </c:extLst>
          </c:dPt>
          <c:dPt>
            <c:idx val="2"/>
            <c:marker>
              <c:symbol val="none"/>
            </c:marker>
            <c:bubble3D val="0"/>
            <c:extLst>
              <c:ext xmlns:c16="http://schemas.microsoft.com/office/drawing/2014/chart" uri="{C3380CC4-5D6E-409C-BE32-E72D297353CC}">
                <c16:uniqueId val="{00000002-8F71-4C10-9FED-2BC5B7D889C7}"/>
              </c:ext>
            </c:extLst>
          </c:dPt>
          <c:dPt>
            <c:idx val="3"/>
            <c:marker>
              <c:symbol val="none"/>
            </c:marker>
            <c:bubble3D val="0"/>
            <c:extLst>
              <c:ext xmlns:c16="http://schemas.microsoft.com/office/drawing/2014/chart" uri="{C3380CC4-5D6E-409C-BE32-E72D297353CC}">
                <c16:uniqueId val="{00000003-8F71-4C10-9FED-2BC5B7D889C7}"/>
              </c:ext>
            </c:extLst>
          </c:dPt>
          <c:dPt>
            <c:idx val="4"/>
            <c:marker>
              <c:symbol val="none"/>
            </c:marker>
            <c:bubble3D val="0"/>
            <c:extLst>
              <c:ext xmlns:c16="http://schemas.microsoft.com/office/drawing/2014/chart" uri="{C3380CC4-5D6E-409C-BE32-E72D297353CC}">
                <c16:uniqueId val="{00000004-8F71-4C10-9FED-2BC5B7D889C7}"/>
              </c:ext>
            </c:extLst>
          </c:dPt>
          <c:dPt>
            <c:idx val="5"/>
            <c:marker>
              <c:symbol val="none"/>
            </c:marker>
            <c:bubble3D val="0"/>
            <c:extLst>
              <c:ext xmlns:c16="http://schemas.microsoft.com/office/drawing/2014/chart" uri="{C3380CC4-5D6E-409C-BE32-E72D297353CC}">
                <c16:uniqueId val="{00000005-8F71-4C10-9FED-2BC5B7D889C7}"/>
              </c:ext>
            </c:extLst>
          </c:dPt>
          <c:dPt>
            <c:idx val="6"/>
            <c:marker>
              <c:symbol val="none"/>
            </c:marker>
            <c:bubble3D val="0"/>
            <c:extLst>
              <c:ext xmlns:c16="http://schemas.microsoft.com/office/drawing/2014/chart" uri="{C3380CC4-5D6E-409C-BE32-E72D297353CC}">
                <c16:uniqueId val="{00000006-8F71-4C10-9FED-2BC5B7D889C7}"/>
              </c:ext>
            </c:extLst>
          </c:dPt>
          <c:dPt>
            <c:idx val="7"/>
            <c:marker>
              <c:symbol val="none"/>
            </c:marker>
            <c:bubble3D val="0"/>
            <c:extLst>
              <c:ext xmlns:c16="http://schemas.microsoft.com/office/drawing/2014/chart" uri="{C3380CC4-5D6E-409C-BE32-E72D297353CC}">
                <c16:uniqueId val="{00000007-8F71-4C10-9FED-2BC5B7D889C7}"/>
              </c:ext>
            </c:extLst>
          </c:dPt>
          <c:dLbls>
            <c:dLbl>
              <c:idx val="0"/>
              <c:layout>
                <c:manualLayout>
                  <c:x val="5.233431758530184E-2"/>
                  <c:y val="-4.735230107106176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8F71-4C10-9FED-2BC5B7D889C7}"/>
                </c:ext>
              </c:extLst>
            </c:dLbl>
            <c:dLbl>
              <c:idx val="1"/>
              <c:layout>
                <c:manualLayout>
                  <c:x val="8.1166174540682409E-2"/>
                  <c:y val="0.11256806214440586"/>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8F71-4C10-9FED-2BC5B7D889C7}"/>
                </c:ext>
              </c:extLst>
            </c:dLbl>
            <c:dLbl>
              <c:idx val="2"/>
              <c:layout>
                <c:manualLayout>
                  <c:x val="5.0284940944881888E-2"/>
                  <c:y val="3.1854713812947176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8F71-4C10-9FED-2BC5B7D889C7}"/>
                </c:ext>
              </c:extLst>
            </c:dLbl>
            <c:dLbl>
              <c:idx val="3"/>
              <c:layout>
                <c:manualLayout>
                  <c:x val="6.1500164041994751E-2"/>
                  <c:y val="5.993605418887856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8F71-4C10-9FED-2BC5B7D889C7}"/>
                </c:ext>
              </c:extLst>
            </c:dLbl>
            <c:dLbl>
              <c:idx val="4"/>
              <c:layout>
                <c:manualLayout>
                  <c:x val="7.7464788732394194E-2"/>
                  <c:y val="0.16780432309442539"/>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8F71-4C10-9FED-2BC5B7D889C7}"/>
                </c:ext>
              </c:extLst>
            </c:dLbl>
            <c:dLbl>
              <c:idx val="5"/>
              <c:layout>
                <c:manualLayout>
                  <c:x val="-0.14082954419429966"/>
                  <c:y val="2.559726962457337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8F71-4C10-9FED-2BC5B7D889C7}"/>
                </c:ext>
              </c:extLst>
            </c:dLbl>
            <c:dLbl>
              <c:idx val="6"/>
              <c:layout>
                <c:manualLayout>
                  <c:x val="-0.14084507042253522"/>
                  <c:y val="-2.559726962457340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8F71-4C10-9FED-2BC5B7D889C7}"/>
                </c:ext>
              </c:extLst>
            </c:dLbl>
            <c:dLbl>
              <c:idx val="7"/>
              <c:layout>
                <c:manualLayout>
                  <c:x val="-0.11363636363636366"/>
                  <c:y val="-7.832080200501254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8F71-4C10-9FED-2BC5B7D889C7}"/>
                </c:ext>
              </c:extLst>
            </c:dLbl>
            <c:numFmt formatCode="0.00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75000"/>
                      </a:schemeClr>
                    </a:solidFill>
                    <a:latin typeface="+mn-lt"/>
                    <a:ea typeface="+mn-ea"/>
                    <a:cs typeface="+mn-cs"/>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50000"/>
                        </a:schemeClr>
                      </a:solidFill>
                      <a:round/>
                    </a:ln>
                    <a:effectLst/>
                  </c:spPr>
                </c15:leaderLines>
              </c:ext>
            </c:extLst>
          </c:dLbls>
          <c:cat>
            <c:strRef>
              <c:f>Grafiken!$B$6:$B$13</c:f>
              <c:strCache>
                <c:ptCount val="8"/>
                <c:pt idx="0">
                  <c:v> EI_GWP_co_embedded</c:v>
                </c:pt>
                <c:pt idx="1">
                  <c:v> EI_GWP_me_embedded</c:v>
                </c:pt>
                <c:pt idx="2">
                  <c:v> EI_GWP_st_embedded</c:v>
                </c:pt>
                <c:pt idx="3">
                  <c:v> EI_GWP_tr_embedded</c:v>
                </c:pt>
                <c:pt idx="4">
                  <c:v> EI_GWP_co</c:v>
                </c:pt>
                <c:pt idx="5">
                  <c:v> EI_GWP_me</c:v>
                </c:pt>
                <c:pt idx="6">
                  <c:v> EI_GWP_st</c:v>
                </c:pt>
                <c:pt idx="7">
                  <c:v> EI_GWP_tr</c:v>
                </c:pt>
              </c:strCache>
            </c:strRef>
          </c:cat>
          <c:val>
            <c:numRef>
              <c:f>Grafiken!$C$6:$C$13</c:f>
              <c:numCache>
                <c:formatCode>General</c:formatCode>
                <c:ptCount val="8"/>
                <c:pt idx="0">
                  <c:v>2.8172195910151451E-2</c:v>
                </c:pt>
                <c:pt idx="1">
                  <c:v>5.3403771347968934E-2</c:v>
                </c:pt>
                <c:pt idx="2">
                  <c:v>7.1033544062713103E-2</c:v>
                </c:pt>
                <c:pt idx="3">
                  <c:v>7.8552872497144252E-3</c:v>
                </c:pt>
                <c:pt idx="4">
                  <c:v>0.58273939054102375</c:v>
                </c:pt>
                <c:pt idx="5">
                  <c:v>0.17139679148219711</c:v>
                </c:pt>
                <c:pt idx="6">
                  <c:v>0.24802307426405534</c:v>
                </c:pt>
                <c:pt idx="7">
                  <c:v>3.7353542283271465E-2</c:v>
                </c:pt>
              </c:numCache>
            </c:numRef>
          </c:val>
          <c:extLst>
            <c:ext xmlns:c16="http://schemas.microsoft.com/office/drawing/2014/chart" uri="{C3380CC4-5D6E-409C-BE32-E72D297353CC}">
              <c16:uniqueId val="{00000008-8F71-4C10-9FED-2BC5B7D889C7}"/>
            </c:ext>
          </c:extLst>
        </c:ser>
        <c:dLbls>
          <c:showLegendKey val="0"/>
          <c:showVal val="0"/>
          <c:showCatName val="0"/>
          <c:showSerName val="0"/>
          <c:showPercent val="0"/>
          <c:showBubbleSize val="0"/>
        </c:dLbls>
        <c:axId val="876928464"/>
        <c:axId val="874700160"/>
      </c:radarChart>
      <c:catAx>
        <c:axId val="876928464"/>
        <c:scaling>
          <c:orientation val="minMax"/>
        </c:scaling>
        <c:delete val="0"/>
        <c:axPos val="b"/>
        <c:majorGridlines>
          <c:spPr>
            <a:ln w="9525" cap="flat" cmpd="sng" algn="ctr">
              <a:solidFill>
                <a:schemeClr val="lt1">
                  <a:alpha val="20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de-DE"/>
          </a:p>
        </c:txPr>
        <c:crossAx val="874700160"/>
        <c:crosses val="autoZero"/>
        <c:auto val="1"/>
        <c:lblAlgn val="ctr"/>
        <c:lblOffset val="100"/>
        <c:noMultiLvlLbl val="0"/>
      </c:catAx>
      <c:valAx>
        <c:axId val="874700160"/>
        <c:scaling>
          <c:orientation val="minMax"/>
        </c:scaling>
        <c:delete val="0"/>
        <c:axPos val="l"/>
        <c:majorGridlines>
          <c:spPr>
            <a:ln w="9525" cap="flat" cmpd="sng" algn="ctr">
              <a:solidFill>
                <a:schemeClr val="lt1">
                  <a:alpha val="20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de-DE"/>
          </a:p>
        </c:txPr>
        <c:crossAx val="87692846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dk1">
        <a:lumMod val="75000"/>
        <a:lumOff val="25000"/>
      </a:schemeClr>
    </a:solidFill>
    <a:ln w="9525" cap="flat" cmpd="sng" algn="ctr">
      <a:solidFill>
        <a:schemeClr val="dk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Grafiken!$G$15:$I$15</c:f>
          <c:strCache>
            <c:ptCount val="3"/>
            <c:pt idx="0">
              <c:v>EI_ADP_Sum = </c:v>
            </c:pt>
            <c:pt idx="1">
              <c:v>7,5E-05</c:v>
            </c:pt>
            <c:pt idx="2">
              <c:v>kg CO2 eq</c:v>
            </c:pt>
          </c:strCache>
        </c:strRef>
      </c:tx>
      <c:overlay val="0"/>
      <c:spPr>
        <a:noFill/>
        <a:ln>
          <a:noFill/>
        </a:ln>
        <a:effectLst/>
      </c:spPr>
      <c:txPr>
        <a:bodyPr rot="0" spcFirstLastPara="1" vertOverflow="ellipsis" vert="horz" wrap="square" anchor="ctr" anchorCtr="1"/>
        <a:lstStyle/>
        <a:p>
          <a:pPr>
            <a:defRPr sz="1400" b="0" i="0" u="none" strike="noStrike" kern="1200" cap="none" spc="50" baseline="0">
              <a:solidFill>
                <a:schemeClr val="lt1">
                  <a:lumMod val="85000"/>
                </a:schemeClr>
              </a:solidFill>
              <a:latin typeface="+mn-lt"/>
              <a:ea typeface="+mn-ea"/>
              <a:cs typeface="+mn-cs"/>
            </a:defRPr>
          </a:pPr>
          <a:endParaRPr lang="de-DE"/>
        </a:p>
      </c:txPr>
    </c:title>
    <c:autoTitleDeleted val="0"/>
    <c:plotArea>
      <c:layout/>
      <c:radarChart>
        <c:radarStyle val="marker"/>
        <c:varyColors val="0"/>
        <c:ser>
          <c:idx val="0"/>
          <c:order val="0"/>
          <c:spPr>
            <a:ln w="28575" cap="rnd">
              <a:solidFill>
                <a:schemeClr val="accent1"/>
              </a:solidFill>
            </a:ln>
            <a:effectLst>
              <a:glow rad="76200">
                <a:schemeClr val="accent1">
                  <a:satMod val="175000"/>
                  <a:alpha val="34000"/>
                </a:schemeClr>
              </a:glow>
            </a:effectLst>
          </c:spPr>
          <c:marker>
            <c:symbol val="none"/>
          </c:marker>
          <c:cat>
            <c:strRef>
              <c:f>Grafiken!$G$7:$G$14</c:f>
              <c:strCache>
                <c:ptCount val="8"/>
                <c:pt idx="0">
                  <c:v> EI_ADP_co_embedded</c:v>
                </c:pt>
                <c:pt idx="1">
                  <c:v> EI_ADP_me_embedded</c:v>
                </c:pt>
                <c:pt idx="2">
                  <c:v> EI_ADP_st_embedded</c:v>
                </c:pt>
                <c:pt idx="3">
                  <c:v> EI_ADP_tr_embedded</c:v>
                </c:pt>
                <c:pt idx="4">
                  <c:v> EI_ADP_co</c:v>
                </c:pt>
                <c:pt idx="5">
                  <c:v> EI_ADP_me</c:v>
                </c:pt>
                <c:pt idx="6">
                  <c:v> EI_ADP_st</c:v>
                </c:pt>
                <c:pt idx="7">
                  <c:v> EI_ADP_tr</c:v>
                </c:pt>
              </c:strCache>
            </c:strRef>
          </c:cat>
          <c:val>
            <c:numRef>
              <c:f>Grafiken!$H$7:$H$14</c:f>
              <c:numCache>
                <c:formatCode>General</c:formatCode>
                <c:ptCount val="8"/>
                <c:pt idx="0">
                  <c:v>2.3429784596876535E-5</c:v>
                </c:pt>
                <c:pt idx="1">
                  <c:v>4.933029848095463E-6</c:v>
                </c:pt>
                <c:pt idx="2">
                  <c:v>2.9682581255589605E-6</c:v>
                </c:pt>
                <c:pt idx="3">
                  <c:v>6.8975320686630255E-7</c:v>
                </c:pt>
                <c:pt idx="4">
                  <c:v>3.0332236140500695E-5</c:v>
                </c:pt>
                <c:pt idx="5">
                  <c:v>6.4016365595048587E-6</c:v>
                </c:pt>
                <c:pt idx="6">
                  <c:v>5.1711681926730545E-6</c:v>
                </c:pt>
                <c:pt idx="7">
                  <c:v>1.0569048847186515E-6</c:v>
                </c:pt>
              </c:numCache>
            </c:numRef>
          </c:val>
          <c:extLst>
            <c:ext xmlns:c16="http://schemas.microsoft.com/office/drawing/2014/chart" uri="{C3380CC4-5D6E-409C-BE32-E72D297353CC}">
              <c16:uniqueId val="{00000008-3022-4085-819C-2FCEA7A9136F}"/>
            </c:ext>
          </c:extLst>
        </c:ser>
        <c:dLbls>
          <c:showLegendKey val="0"/>
          <c:showVal val="0"/>
          <c:showCatName val="0"/>
          <c:showSerName val="0"/>
          <c:showPercent val="0"/>
          <c:showBubbleSize val="0"/>
        </c:dLbls>
        <c:axId val="876928464"/>
        <c:axId val="874700160"/>
      </c:radarChart>
      <c:catAx>
        <c:axId val="876928464"/>
        <c:scaling>
          <c:orientation val="minMax"/>
        </c:scaling>
        <c:delete val="0"/>
        <c:axPos val="b"/>
        <c:majorGridlines>
          <c:spPr>
            <a:ln w="9525" cap="flat" cmpd="sng" algn="ctr">
              <a:solidFill>
                <a:schemeClr val="lt1">
                  <a:alpha val="20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de-DE"/>
          </a:p>
        </c:txPr>
        <c:crossAx val="874700160"/>
        <c:crosses val="autoZero"/>
        <c:auto val="1"/>
        <c:lblAlgn val="ctr"/>
        <c:lblOffset val="100"/>
        <c:noMultiLvlLbl val="0"/>
      </c:catAx>
      <c:valAx>
        <c:axId val="874700160"/>
        <c:scaling>
          <c:orientation val="minMax"/>
        </c:scaling>
        <c:delete val="0"/>
        <c:axPos val="l"/>
        <c:majorGridlines>
          <c:spPr>
            <a:ln w="9525" cap="flat" cmpd="sng" algn="ctr">
              <a:solidFill>
                <a:schemeClr val="lt1">
                  <a:alpha val="20000"/>
                </a:schemeClr>
              </a:solidFill>
              <a:round/>
            </a:ln>
            <a:effectLst/>
          </c:spPr>
        </c:majorGridlines>
        <c:numFmt formatCode="0.00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de-DE"/>
          </a:p>
        </c:txPr>
        <c:crossAx val="87692846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dk1">
        <a:lumMod val="75000"/>
        <a:lumOff val="25000"/>
      </a:schemeClr>
    </a:solidFill>
    <a:ln w="9525" cap="flat" cmpd="sng" algn="ctr">
      <a:solidFill>
        <a:schemeClr val="dk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20">
  <cs:axisTitle>
    <cs:lnRef idx="0"/>
    <cs:fillRef idx="0"/>
    <cs:effectRef idx="0"/>
    <cs:fontRef idx="minor">
      <a:schemeClr val="lt1">
        <a:lumMod val="75000"/>
      </a:schemeClr>
    </cs:fontRef>
    <cs:defRPr sz="900" b="1" kern="1200"/>
  </cs:axisTitle>
  <cs:categoryAxis>
    <cs:lnRef idx="0"/>
    <cs:fillRef idx="0"/>
    <cs:effectRef idx="0"/>
    <cs:fontRef idx="minor">
      <a:schemeClr val="lt1">
        <a:lumMod val="75000"/>
      </a:schemeClr>
    </cs:fontRef>
    <cs:defRPr sz="900" kern="1200"/>
  </cs:categoryAxis>
  <cs:chartArea>
    <cs:lnRef idx="0"/>
    <cs:fillRef idx="0"/>
    <cs:effectRef idx="0"/>
    <cs:fontRef idx="minor">
      <a:schemeClr val="dk1"/>
    </cs:fontRef>
    <cs:spPr>
      <a:solidFill>
        <a:schemeClr val="dk1">
          <a:lumMod val="75000"/>
          <a:lumOff val="25000"/>
        </a:schemeClr>
      </a:solidFill>
      <a:ln w="9525" cap="flat" cmpd="sng" algn="ctr">
        <a:solidFill>
          <a:schemeClr val="dk1">
            <a:lumMod val="15000"/>
            <a:lumOff val="85000"/>
          </a:schemeClr>
        </a:solidFill>
        <a:round/>
      </a:ln>
    </cs:spPr>
    <cs:defRPr sz="900" kern="1200"/>
  </cs:chartArea>
  <cs:dataLabel>
    <cs:lnRef idx="0"/>
    <cs:fillRef idx="0"/>
    <cs:effectRef idx="0"/>
    <cs:fontRef idx="minor">
      <a:schemeClr val="lt1">
        <a:lumMod val="75000"/>
      </a:schemeClr>
    </cs:fontRef>
    <cs:defRPr sz="900" kern="1200"/>
  </cs:dataLabel>
  <cs:dataLabelCallout>
    <cs:lnRef idx="0"/>
    <cs:fillRef idx="0"/>
    <cs:effectRef idx="0"/>
    <cs:fontRef idx="minor">
      <a:schemeClr val="lt1">
        <a:lumMod val="75000"/>
      </a:schemeClr>
    </cs:fontRef>
    <cs:spPr>
      <a:solidFill>
        <a:schemeClr val="dk1">
          <a:lumMod val="75000"/>
          <a:lumOff val="25000"/>
        </a:schemeClr>
      </a:solidFill>
      <a:ln>
        <a:solidFill>
          <a:schemeClr val="lt1">
            <a:lumMod val="75000"/>
          </a:schemeClr>
        </a:solidFill>
      </a:ln>
      <a:effectLst>
        <a:glow rad="63500">
          <a:schemeClr val="lt1">
            <a:lumMod val="75000"/>
            <a:alpha val="15000"/>
          </a:schemeClr>
        </a:glow>
      </a:effectLst>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styleClr val="auto"/>
    </cs:effectRef>
    <cs:fontRef idx="minor">
      <a:schemeClr val="dk1"/>
    </cs:fontRef>
    <cs:spPr>
      <a:solidFill>
        <a:schemeClr val="phClr">
          <a:alpha val="69804"/>
        </a:schemeClr>
      </a:solidFill>
      <a:ln w="9525" cap="flat" cmpd="sng" algn="ctr">
        <a:solidFill>
          <a:schemeClr val="phClr">
            <a:alpha val="69804"/>
          </a:schemeClr>
        </a:solidFill>
        <a:miter lim="800000"/>
      </a:ln>
      <a:effectLst>
        <a:glow rad="76200">
          <a:schemeClr val="phClr">
            <a:satMod val="175000"/>
            <a:alpha val="34000"/>
          </a:schemeClr>
        </a:glow>
      </a:effectLst>
    </cs:spPr>
  </cs:dataPoint>
  <cs:dataPoint3D>
    <cs:lnRef idx="0">
      <cs:styleClr val="auto"/>
    </cs:lnRef>
    <cs:fillRef idx="0">
      <cs:styleClr val="auto"/>
    </cs:fillRef>
    <cs:effectRef idx="0">
      <cs:styleClr val="auto"/>
    </cs:effectRef>
    <cs:fontRef idx="minor">
      <a:schemeClr val="dk1"/>
    </cs:fontRef>
    <cs:spPr>
      <a:solidFill>
        <a:schemeClr val="phClr">
          <a:alpha val="69804"/>
        </a:schemeClr>
      </a:solidFill>
      <a:ln w="9525" cap="flat" cmpd="sng" algn="ctr">
        <a:solidFill>
          <a:schemeClr val="phClr">
            <a:alpha val="69804"/>
          </a:schemeClr>
        </a:solidFill>
        <a:miter lim="800000"/>
      </a:ln>
      <a:effectLst>
        <a:glow rad="76200">
          <a:schemeClr val="phClr">
            <a:satMod val="175000"/>
            <a:alpha val="34000"/>
          </a:schemeClr>
        </a:glow>
      </a:effectLst>
    </cs:spPr>
  </cs:dataPoint3D>
  <cs:dataPointLine>
    <cs:lnRef idx="0">
      <cs:styleClr val="auto"/>
    </cs:lnRef>
    <cs:fillRef idx="0">
      <cs:styleClr val="auto"/>
    </cs:fillRef>
    <cs:effectRef idx="0">
      <cs:styleClr val="auto"/>
    </cs:effectRef>
    <cs:fontRef idx="minor">
      <a:schemeClr val="dk1"/>
    </cs:fontRef>
    <cs:spPr>
      <a:ln w="28575" cap="rnd">
        <a:solidFill>
          <a:schemeClr val="phClr"/>
        </a:solidFill>
      </a:ln>
      <a:effectLst>
        <a:glow rad="76200">
          <a:schemeClr val="phClr">
            <a:satMod val="175000"/>
            <a:alpha val="34000"/>
          </a:schemeClr>
        </a:glow>
      </a:effectLst>
    </cs:spPr>
  </cs:dataPointLine>
  <cs:dataPointMarker>
    <cs:lnRef idx="0">
      <cs:styleClr val="auto"/>
    </cs:lnRef>
    <cs:fillRef idx="0">
      <cs:styleClr val="auto"/>
    </cs:fillRef>
    <cs:effectRef idx="0">
      <cs:styleClr val="auto"/>
    </cs:effectRef>
    <cs:fontRef idx="minor">
      <a:schemeClr val="dk1"/>
    </cs:fontRef>
    <cs:spPr>
      <a:solidFill>
        <a:schemeClr val="phClr">
          <a:lumMod val="60000"/>
          <a:lumOff val="40000"/>
        </a:schemeClr>
      </a:solidFill>
      <a:effectLst>
        <a:glow rad="63500">
          <a:schemeClr val="phClr">
            <a:satMod val="175000"/>
            <a:alpha val="25000"/>
          </a:schemeClr>
        </a:glow>
      </a:effectLst>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lt1">
        <a:lumMod val="75000"/>
      </a:schemeClr>
    </cs:fontRef>
    <cs:spPr>
      <a:ln w="9525">
        <a:solidFill>
          <a:schemeClr val="dk1">
            <a:lumMod val="50000"/>
            <a:lumOff val="50000"/>
          </a:schemeClr>
        </a:solidFill>
      </a:ln>
    </cs:spPr>
    <cs:defRPr sz="900" kern="1200"/>
  </cs:dataTable>
  <cs:downBar>
    <cs:lnRef idx="0"/>
    <cs:fillRef idx="0"/>
    <cs:effectRef idx="0"/>
    <cs:fontRef idx="minor">
      <a:schemeClr val="lt1"/>
    </cs:fontRef>
    <cs:spPr>
      <a:solidFill>
        <a:schemeClr val="dk1">
          <a:lumMod val="50000"/>
          <a:lumOff val="50000"/>
        </a:schemeClr>
      </a:solidFill>
      <a:ln w="9525">
        <a:solidFill>
          <a:schemeClr val="dk1">
            <a:lumMod val="75000"/>
          </a:schemeClr>
        </a:solidFill>
        <a:round/>
      </a:ln>
    </cs:spPr>
  </cs:downBar>
  <cs:dropLine>
    <cs:lnRef idx="0"/>
    <cs:fillRef idx="0"/>
    <cs:effectRef idx="0"/>
    <cs:fontRef idx="minor">
      <a:schemeClr val="dk1"/>
    </cs:fontRef>
    <cs:spPr>
      <a:ln w="9525">
        <a:solidFill>
          <a:schemeClr val="lt1">
            <a:lumMod val="50000"/>
          </a:schemeClr>
        </a:solidFill>
        <a:round/>
      </a:ln>
    </cs:spPr>
  </cs:dropLine>
  <cs:errorBar>
    <cs:lnRef idx="0"/>
    <cs:fillRef idx="0"/>
    <cs:effectRef idx="0"/>
    <cs:fontRef idx="minor">
      <a:schemeClr val="dk1"/>
    </cs:fontRef>
    <cs:spPr>
      <a:ln w="9525">
        <a:solidFill>
          <a:schemeClr val="lt1">
            <a:lumMod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lt1">
            <a:alpha val="20000"/>
          </a:schemeClr>
        </a:solidFill>
        <a:round/>
      </a:ln>
    </cs:spPr>
  </cs:gridlineMajor>
  <cs:gridlineMinor>
    <cs:lnRef idx="0"/>
    <cs:fillRef idx="0"/>
    <cs:effectRef idx="0"/>
    <cs:fontRef idx="minor">
      <a:schemeClr val="dk1"/>
    </cs:fontRef>
    <cs:spPr>
      <a:ln w="9525" cap="flat" cmpd="sng" algn="ctr">
        <a:solidFill>
          <a:schemeClr val="lt1">
            <a:alpha val="20000"/>
          </a:schemeClr>
        </a:solidFill>
        <a:round/>
      </a:ln>
    </cs:spPr>
  </cs:gridlineMinor>
  <cs:hiLoLine>
    <cs:lnRef idx="0"/>
    <cs:fillRef idx="0"/>
    <cs:effectRef idx="0"/>
    <cs:fontRef idx="minor">
      <a:schemeClr val="dk1"/>
    </cs:fontRef>
    <cs:spPr>
      <a:ln w="9525">
        <a:solidFill>
          <a:schemeClr val="lt1">
            <a:lumMod val="50000"/>
          </a:schemeClr>
        </a:solidFill>
        <a:round/>
      </a:ln>
    </cs:spPr>
  </cs:hiLoLine>
  <cs:leaderLine>
    <cs:lnRef idx="0"/>
    <cs:fillRef idx="0"/>
    <cs:effectRef idx="0"/>
    <cs:fontRef idx="minor">
      <a:schemeClr val="dk1"/>
    </cs:fontRef>
    <cs:spPr>
      <a:ln w="9525">
        <a:solidFill>
          <a:schemeClr val="lt1">
            <a:lumMod val="50000"/>
          </a:schemeClr>
        </a:solidFill>
        <a:round/>
      </a:ln>
    </cs:spPr>
  </cs:leaderLine>
  <cs:legend>
    <cs:lnRef idx="0"/>
    <cs:fillRef idx="0"/>
    <cs:effectRef idx="0"/>
    <cs:fontRef idx="minor">
      <a:schemeClr val="lt1">
        <a:lumMod val="7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lt1">
        <a:lumMod val="75000"/>
      </a:schemeClr>
    </cs:fontRef>
    <cs:defRPr sz="900" kern="1200"/>
  </cs:seriesAxis>
  <cs:seriesLine>
    <cs:lnRef idx="0"/>
    <cs:fillRef idx="0"/>
    <cs:effectRef idx="0"/>
    <cs:fontRef idx="minor">
      <a:schemeClr val="dk1"/>
    </cs:fontRef>
    <cs:spPr>
      <a:ln w="9525">
        <a:solidFill>
          <a:schemeClr val="lt1">
            <a:lumMod val="50000"/>
          </a:schemeClr>
        </a:solidFill>
        <a:round/>
      </a:ln>
    </cs:spPr>
  </cs:seriesLine>
  <cs:title>
    <cs:lnRef idx="0"/>
    <cs:fillRef idx="0"/>
    <cs:effectRef idx="0"/>
    <cs:fontRef idx="minor">
      <a:schemeClr val="lt1">
        <a:lumMod val="85000"/>
      </a:schemeClr>
    </cs:fontRef>
    <cs:defRPr sz="1400" b="0" kern="1200" cap="none" spc="50" baseline="0"/>
  </cs:title>
  <cs:trendline>
    <cs:lnRef idx="0">
      <cs:styleClr val="auto"/>
    </cs:lnRef>
    <cs:fillRef idx="0"/>
    <cs:effectRef idx="0"/>
    <cs:fontRef idx="minor">
      <a:schemeClr val="dk1"/>
    </cs:fontRef>
    <cs:spPr>
      <a:ln w="9525" cap="rnd">
        <a:solidFill>
          <a:schemeClr val="phClr">
            <a:alpha val="50000"/>
          </a:schemeClr>
        </a:solidFill>
      </a:ln>
    </cs:spPr>
  </cs:trendline>
  <cs:trendlineLabel>
    <cs:lnRef idx="0"/>
    <cs:fillRef idx="0"/>
    <cs:effectRef idx="0"/>
    <cs:fontRef idx="minor">
      <a:schemeClr val="lt1">
        <a:lumMod val="75000"/>
      </a:schemeClr>
    </cs:fontRef>
    <cs:defRPr sz="900" kern="1200"/>
  </cs:trendlineLabel>
  <cs:upBar>
    <cs:lnRef idx="0"/>
    <cs:fillRef idx="0"/>
    <cs:effectRef idx="0"/>
    <cs:fontRef idx="minor">
      <a:schemeClr val="dk1"/>
    </cs:fontRef>
    <cs:spPr>
      <a:solidFill>
        <a:schemeClr val="lt1">
          <a:lumMod val="85000"/>
        </a:schemeClr>
      </a:solidFill>
      <a:ln w="9525">
        <a:solidFill>
          <a:schemeClr val="dk1">
            <a:lumMod val="50000"/>
          </a:schemeClr>
        </a:solidFill>
        <a:round/>
      </a:ln>
    </cs:spPr>
  </cs:upBar>
  <cs:valueAxis>
    <cs:lnRef idx="0"/>
    <cs:fillRef idx="0"/>
    <cs:effectRef idx="0"/>
    <cs:fontRef idx="minor">
      <a:schemeClr val="lt1">
        <a:lumMod val="75000"/>
      </a:schemeClr>
    </cs:fontRef>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320">
  <cs:axisTitle>
    <cs:lnRef idx="0"/>
    <cs:fillRef idx="0"/>
    <cs:effectRef idx="0"/>
    <cs:fontRef idx="minor">
      <a:schemeClr val="lt1">
        <a:lumMod val="75000"/>
      </a:schemeClr>
    </cs:fontRef>
    <cs:defRPr sz="900" b="1" kern="1200"/>
  </cs:axisTitle>
  <cs:categoryAxis>
    <cs:lnRef idx="0"/>
    <cs:fillRef idx="0"/>
    <cs:effectRef idx="0"/>
    <cs:fontRef idx="minor">
      <a:schemeClr val="lt1">
        <a:lumMod val="75000"/>
      </a:schemeClr>
    </cs:fontRef>
    <cs:defRPr sz="900" kern="1200"/>
  </cs:categoryAxis>
  <cs:chartArea>
    <cs:lnRef idx="0"/>
    <cs:fillRef idx="0"/>
    <cs:effectRef idx="0"/>
    <cs:fontRef idx="minor">
      <a:schemeClr val="dk1"/>
    </cs:fontRef>
    <cs:spPr>
      <a:solidFill>
        <a:schemeClr val="dk1">
          <a:lumMod val="75000"/>
          <a:lumOff val="25000"/>
        </a:schemeClr>
      </a:solidFill>
      <a:ln w="9525" cap="flat" cmpd="sng" algn="ctr">
        <a:solidFill>
          <a:schemeClr val="dk1">
            <a:lumMod val="15000"/>
            <a:lumOff val="85000"/>
          </a:schemeClr>
        </a:solidFill>
        <a:round/>
      </a:ln>
    </cs:spPr>
    <cs:defRPr sz="900" kern="1200"/>
  </cs:chartArea>
  <cs:dataLabel>
    <cs:lnRef idx="0"/>
    <cs:fillRef idx="0"/>
    <cs:effectRef idx="0"/>
    <cs:fontRef idx="minor">
      <a:schemeClr val="lt1">
        <a:lumMod val="75000"/>
      </a:schemeClr>
    </cs:fontRef>
    <cs:defRPr sz="900" kern="1200"/>
  </cs:dataLabel>
  <cs:dataLabelCallout>
    <cs:lnRef idx="0"/>
    <cs:fillRef idx="0"/>
    <cs:effectRef idx="0"/>
    <cs:fontRef idx="minor">
      <a:schemeClr val="lt1">
        <a:lumMod val="75000"/>
      </a:schemeClr>
    </cs:fontRef>
    <cs:spPr>
      <a:solidFill>
        <a:schemeClr val="dk1">
          <a:lumMod val="75000"/>
          <a:lumOff val="25000"/>
        </a:schemeClr>
      </a:solidFill>
      <a:ln>
        <a:solidFill>
          <a:schemeClr val="lt1">
            <a:lumMod val="75000"/>
          </a:schemeClr>
        </a:solidFill>
      </a:ln>
      <a:effectLst>
        <a:glow rad="63500">
          <a:schemeClr val="lt1">
            <a:lumMod val="75000"/>
            <a:alpha val="15000"/>
          </a:schemeClr>
        </a:glow>
      </a:effectLst>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styleClr val="auto"/>
    </cs:effectRef>
    <cs:fontRef idx="minor">
      <a:schemeClr val="dk1"/>
    </cs:fontRef>
    <cs:spPr>
      <a:solidFill>
        <a:schemeClr val="phClr">
          <a:alpha val="69804"/>
        </a:schemeClr>
      </a:solidFill>
      <a:ln w="9525" cap="flat" cmpd="sng" algn="ctr">
        <a:solidFill>
          <a:schemeClr val="phClr">
            <a:alpha val="69804"/>
          </a:schemeClr>
        </a:solidFill>
        <a:miter lim="800000"/>
      </a:ln>
      <a:effectLst>
        <a:glow rad="76200">
          <a:schemeClr val="phClr">
            <a:satMod val="175000"/>
            <a:alpha val="34000"/>
          </a:schemeClr>
        </a:glow>
      </a:effectLst>
    </cs:spPr>
  </cs:dataPoint>
  <cs:dataPoint3D>
    <cs:lnRef idx="0">
      <cs:styleClr val="auto"/>
    </cs:lnRef>
    <cs:fillRef idx="0">
      <cs:styleClr val="auto"/>
    </cs:fillRef>
    <cs:effectRef idx="0">
      <cs:styleClr val="auto"/>
    </cs:effectRef>
    <cs:fontRef idx="minor">
      <a:schemeClr val="dk1"/>
    </cs:fontRef>
    <cs:spPr>
      <a:solidFill>
        <a:schemeClr val="phClr">
          <a:alpha val="69804"/>
        </a:schemeClr>
      </a:solidFill>
      <a:ln w="9525" cap="flat" cmpd="sng" algn="ctr">
        <a:solidFill>
          <a:schemeClr val="phClr">
            <a:alpha val="69804"/>
          </a:schemeClr>
        </a:solidFill>
        <a:miter lim="800000"/>
      </a:ln>
      <a:effectLst>
        <a:glow rad="76200">
          <a:schemeClr val="phClr">
            <a:satMod val="175000"/>
            <a:alpha val="34000"/>
          </a:schemeClr>
        </a:glow>
      </a:effectLst>
    </cs:spPr>
  </cs:dataPoint3D>
  <cs:dataPointLine>
    <cs:lnRef idx="0">
      <cs:styleClr val="auto"/>
    </cs:lnRef>
    <cs:fillRef idx="0">
      <cs:styleClr val="auto"/>
    </cs:fillRef>
    <cs:effectRef idx="0">
      <cs:styleClr val="auto"/>
    </cs:effectRef>
    <cs:fontRef idx="minor">
      <a:schemeClr val="dk1"/>
    </cs:fontRef>
    <cs:spPr>
      <a:ln w="28575" cap="rnd">
        <a:solidFill>
          <a:schemeClr val="phClr"/>
        </a:solidFill>
      </a:ln>
      <a:effectLst>
        <a:glow rad="76200">
          <a:schemeClr val="phClr">
            <a:satMod val="175000"/>
            <a:alpha val="34000"/>
          </a:schemeClr>
        </a:glow>
      </a:effectLst>
    </cs:spPr>
  </cs:dataPointLine>
  <cs:dataPointMarker>
    <cs:lnRef idx="0">
      <cs:styleClr val="auto"/>
    </cs:lnRef>
    <cs:fillRef idx="0">
      <cs:styleClr val="auto"/>
    </cs:fillRef>
    <cs:effectRef idx="0">
      <cs:styleClr val="auto"/>
    </cs:effectRef>
    <cs:fontRef idx="minor">
      <a:schemeClr val="dk1"/>
    </cs:fontRef>
    <cs:spPr>
      <a:solidFill>
        <a:schemeClr val="phClr">
          <a:lumMod val="60000"/>
          <a:lumOff val="40000"/>
        </a:schemeClr>
      </a:solidFill>
      <a:effectLst>
        <a:glow rad="63500">
          <a:schemeClr val="phClr">
            <a:satMod val="175000"/>
            <a:alpha val="25000"/>
          </a:schemeClr>
        </a:glow>
      </a:effectLst>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lt1">
        <a:lumMod val="75000"/>
      </a:schemeClr>
    </cs:fontRef>
    <cs:spPr>
      <a:ln w="9525">
        <a:solidFill>
          <a:schemeClr val="dk1">
            <a:lumMod val="50000"/>
            <a:lumOff val="50000"/>
          </a:schemeClr>
        </a:solidFill>
      </a:ln>
    </cs:spPr>
    <cs:defRPr sz="900" kern="1200"/>
  </cs:dataTable>
  <cs:downBar>
    <cs:lnRef idx="0"/>
    <cs:fillRef idx="0"/>
    <cs:effectRef idx="0"/>
    <cs:fontRef idx="minor">
      <a:schemeClr val="lt1"/>
    </cs:fontRef>
    <cs:spPr>
      <a:solidFill>
        <a:schemeClr val="dk1">
          <a:lumMod val="50000"/>
          <a:lumOff val="50000"/>
        </a:schemeClr>
      </a:solidFill>
      <a:ln w="9525">
        <a:solidFill>
          <a:schemeClr val="dk1">
            <a:lumMod val="75000"/>
          </a:schemeClr>
        </a:solidFill>
        <a:round/>
      </a:ln>
    </cs:spPr>
  </cs:downBar>
  <cs:dropLine>
    <cs:lnRef idx="0"/>
    <cs:fillRef idx="0"/>
    <cs:effectRef idx="0"/>
    <cs:fontRef idx="minor">
      <a:schemeClr val="dk1"/>
    </cs:fontRef>
    <cs:spPr>
      <a:ln w="9525">
        <a:solidFill>
          <a:schemeClr val="lt1">
            <a:lumMod val="50000"/>
          </a:schemeClr>
        </a:solidFill>
        <a:round/>
      </a:ln>
    </cs:spPr>
  </cs:dropLine>
  <cs:errorBar>
    <cs:lnRef idx="0"/>
    <cs:fillRef idx="0"/>
    <cs:effectRef idx="0"/>
    <cs:fontRef idx="minor">
      <a:schemeClr val="dk1"/>
    </cs:fontRef>
    <cs:spPr>
      <a:ln w="9525">
        <a:solidFill>
          <a:schemeClr val="lt1">
            <a:lumMod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lt1">
            <a:alpha val="20000"/>
          </a:schemeClr>
        </a:solidFill>
        <a:round/>
      </a:ln>
    </cs:spPr>
  </cs:gridlineMajor>
  <cs:gridlineMinor>
    <cs:lnRef idx="0"/>
    <cs:fillRef idx="0"/>
    <cs:effectRef idx="0"/>
    <cs:fontRef idx="minor">
      <a:schemeClr val="dk1"/>
    </cs:fontRef>
    <cs:spPr>
      <a:ln w="9525" cap="flat" cmpd="sng" algn="ctr">
        <a:solidFill>
          <a:schemeClr val="lt1">
            <a:alpha val="20000"/>
          </a:schemeClr>
        </a:solidFill>
        <a:round/>
      </a:ln>
    </cs:spPr>
  </cs:gridlineMinor>
  <cs:hiLoLine>
    <cs:lnRef idx="0"/>
    <cs:fillRef idx="0"/>
    <cs:effectRef idx="0"/>
    <cs:fontRef idx="minor">
      <a:schemeClr val="dk1"/>
    </cs:fontRef>
    <cs:spPr>
      <a:ln w="9525">
        <a:solidFill>
          <a:schemeClr val="lt1">
            <a:lumMod val="50000"/>
          </a:schemeClr>
        </a:solidFill>
        <a:round/>
      </a:ln>
    </cs:spPr>
  </cs:hiLoLine>
  <cs:leaderLine>
    <cs:lnRef idx="0"/>
    <cs:fillRef idx="0"/>
    <cs:effectRef idx="0"/>
    <cs:fontRef idx="minor">
      <a:schemeClr val="dk1"/>
    </cs:fontRef>
    <cs:spPr>
      <a:ln w="9525">
        <a:solidFill>
          <a:schemeClr val="lt1">
            <a:lumMod val="50000"/>
          </a:schemeClr>
        </a:solidFill>
        <a:round/>
      </a:ln>
    </cs:spPr>
  </cs:leaderLine>
  <cs:legend>
    <cs:lnRef idx="0"/>
    <cs:fillRef idx="0"/>
    <cs:effectRef idx="0"/>
    <cs:fontRef idx="minor">
      <a:schemeClr val="lt1">
        <a:lumMod val="7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lt1">
        <a:lumMod val="75000"/>
      </a:schemeClr>
    </cs:fontRef>
    <cs:defRPr sz="900" kern="1200"/>
  </cs:seriesAxis>
  <cs:seriesLine>
    <cs:lnRef idx="0"/>
    <cs:fillRef idx="0"/>
    <cs:effectRef idx="0"/>
    <cs:fontRef idx="minor">
      <a:schemeClr val="dk1"/>
    </cs:fontRef>
    <cs:spPr>
      <a:ln w="9525">
        <a:solidFill>
          <a:schemeClr val="lt1">
            <a:lumMod val="50000"/>
          </a:schemeClr>
        </a:solidFill>
        <a:round/>
      </a:ln>
    </cs:spPr>
  </cs:seriesLine>
  <cs:title>
    <cs:lnRef idx="0"/>
    <cs:fillRef idx="0"/>
    <cs:effectRef idx="0"/>
    <cs:fontRef idx="minor">
      <a:schemeClr val="lt1">
        <a:lumMod val="85000"/>
      </a:schemeClr>
    </cs:fontRef>
    <cs:defRPr sz="1400" b="0" kern="1200" cap="none" spc="50" baseline="0"/>
  </cs:title>
  <cs:trendline>
    <cs:lnRef idx="0">
      <cs:styleClr val="auto"/>
    </cs:lnRef>
    <cs:fillRef idx="0"/>
    <cs:effectRef idx="0"/>
    <cs:fontRef idx="minor">
      <a:schemeClr val="dk1"/>
    </cs:fontRef>
    <cs:spPr>
      <a:ln w="9525" cap="rnd">
        <a:solidFill>
          <a:schemeClr val="phClr">
            <a:alpha val="50000"/>
          </a:schemeClr>
        </a:solidFill>
      </a:ln>
    </cs:spPr>
  </cs:trendline>
  <cs:trendlineLabel>
    <cs:lnRef idx="0"/>
    <cs:fillRef idx="0"/>
    <cs:effectRef idx="0"/>
    <cs:fontRef idx="minor">
      <a:schemeClr val="lt1">
        <a:lumMod val="75000"/>
      </a:schemeClr>
    </cs:fontRef>
    <cs:defRPr sz="900" kern="1200"/>
  </cs:trendlineLabel>
  <cs:upBar>
    <cs:lnRef idx="0"/>
    <cs:fillRef idx="0"/>
    <cs:effectRef idx="0"/>
    <cs:fontRef idx="minor">
      <a:schemeClr val="dk1"/>
    </cs:fontRef>
    <cs:spPr>
      <a:solidFill>
        <a:schemeClr val="lt1">
          <a:lumMod val="85000"/>
        </a:schemeClr>
      </a:solidFill>
      <a:ln w="9525">
        <a:solidFill>
          <a:schemeClr val="dk1">
            <a:lumMod val="50000"/>
          </a:schemeClr>
        </a:solidFill>
        <a:round/>
      </a:ln>
    </cs:spPr>
  </cs:upBar>
  <cs:valueAxis>
    <cs:lnRef idx="0"/>
    <cs:fillRef idx="0"/>
    <cs:effectRef idx="0"/>
    <cs:fontRef idx="minor">
      <a:schemeClr val="lt1">
        <a:lumMod val="75000"/>
      </a:schemeClr>
    </cs:fontRef>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5.png"/></Relationships>
</file>

<file path=xl/drawings/_rels/drawing4.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drawing5.xml.rels><?xml version="1.0" encoding="UTF-8" standalone="yes"?>
<Relationships xmlns="http://schemas.openxmlformats.org/package/2006/relationships"><Relationship Id="rId3" Type="http://schemas.openxmlformats.org/officeDocument/2006/relationships/image" Target="../media/image10.png"/><Relationship Id="rId2" Type="http://schemas.openxmlformats.org/officeDocument/2006/relationships/image" Target="../media/image9.png"/><Relationship Id="rId1" Type="http://schemas.openxmlformats.org/officeDocument/2006/relationships/image" Target="../media/image8.png"/><Relationship Id="rId4" Type="http://schemas.openxmlformats.org/officeDocument/2006/relationships/image" Target="../media/image11.png"/></Relationships>
</file>

<file path=xl/drawings/_rels/drawing6.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76200</xdr:colOff>
      <xdr:row>120</xdr:row>
      <xdr:rowOff>123825</xdr:rowOff>
    </xdr:from>
    <xdr:to>
      <xdr:col>5</xdr:col>
      <xdr:colOff>209550</xdr:colOff>
      <xdr:row>120</xdr:row>
      <xdr:rowOff>438150</xdr:rowOff>
    </xdr:to>
    <xdr:pic>
      <xdr:nvPicPr>
        <xdr:cNvPr id="6" name="Grafik 5">
          <a:extLst>
            <a:ext uri="{FF2B5EF4-FFF2-40B4-BE49-F238E27FC236}">
              <a16:creationId xmlns:a16="http://schemas.microsoft.com/office/drawing/2014/main" id="{9D944C46-4F2E-E2A1-46B0-4B9413FF8352}"/>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390525" y="15430500"/>
          <a:ext cx="4772025" cy="3143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57150</xdr:colOff>
      <xdr:row>88</xdr:row>
      <xdr:rowOff>85725</xdr:rowOff>
    </xdr:from>
    <xdr:to>
      <xdr:col>2</xdr:col>
      <xdr:colOff>295275</xdr:colOff>
      <xdr:row>88</xdr:row>
      <xdr:rowOff>457200</xdr:rowOff>
    </xdr:to>
    <xdr:pic>
      <xdr:nvPicPr>
        <xdr:cNvPr id="7" name="Grafik 6">
          <a:extLst>
            <a:ext uri="{FF2B5EF4-FFF2-40B4-BE49-F238E27FC236}">
              <a16:creationId xmlns:a16="http://schemas.microsoft.com/office/drawing/2014/main" id="{D7D11D6B-6665-F73A-84FA-7D14B76805D2}"/>
            </a:ext>
          </a:extLst>
        </xdr:cNvPr>
        <xdr:cNvPicPr>
          <a:picLocks noChangeAspect="1"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371475" y="11153775"/>
          <a:ext cx="2200275" cy="3714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171450</xdr:colOff>
      <xdr:row>34</xdr:row>
      <xdr:rowOff>95250</xdr:rowOff>
    </xdr:from>
    <xdr:to>
      <xdr:col>5</xdr:col>
      <xdr:colOff>123825</xdr:colOff>
      <xdr:row>34</xdr:row>
      <xdr:rowOff>485775</xdr:rowOff>
    </xdr:to>
    <xdr:pic>
      <xdr:nvPicPr>
        <xdr:cNvPr id="3" name="Grafik 2">
          <a:extLst>
            <a:ext uri="{FF2B5EF4-FFF2-40B4-BE49-F238E27FC236}">
              <a16:creationId xmlns:a16="http://schemas.microsoft.com/office/drawing/2014/main" id="{F227E71A-9FC8-206D-31CD-8EDEC05A0A45}"/>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33400" y="6648450"/>
          <a:ext cx="4752975" cy="390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104775</xdr:colOff>
      <xdr:row>43</xdr:row>
      <xdr:rowOff>66675</xdr:rowOff>
    </xdr:from>
    <xdr:to>
      <xdr:col>6</xdr:col>
      <xdr:colOff>514350</xdr:colOff>
      <xdr:row>43</xdr:row>
      <xdr:rowOff>514350</xdr:rowOff>
    </xdr:to>
    <xdr:pic>
      <xdr:nvPicPr>
        <xdr:cNvPr id="5" name="Grafik 4">
          <a:extLst>
            <a:ext uri="{FF2B5EF4-FFF2-40B4-BE49-F238E27FC236}">
              <a16:creationId xmlns:a16="http://schemas.microsoft.com/office/drawing/2014/main" id="{F740F3A8-1773-0EDB-E0EF-C802EB726BD9}"/>
            </a:ext>
          </a:extLst>
        </xdr:cNvPr>
        <xdr:cNvPicPr>
          <a:picLocks noChangeAspect="1"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66725" y="8820150"/>
          <a:ext cx="5972175" cy="4476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123825</xdr:colOff>
      <xdr:row>31</xdr:row>
      <xdr:rowOff>95250</xdr:rowOff>
    </xdr:from>
    <xdr:to>
      <xdr:col>3</xdr:col>
      <xdr:colOff>161925</xdr:colOff>
      <xdr:row>31</xdr:row>
      <xdr:rowOff>304800</xdr:rowOff>
    </xdr:to>
    <xdr:pic>
      <xdr:nvPicPr>
        <xdr:cNvPr id="2" name="Grafik 1">
          <a:extLst>
            <a:ext uri="{FF2B5EF4-FFF2-40B4-BE49-F238E27FC236}">
              <a16:creationId xmlns:a16="http://schemas.microsoft.com/office/drawing/2014/main" id="{0DFAD2A5-4AB1-E1F9-6911-C1E870E6BFA6}"/>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657225" y="6076950"/>
          <a:ext cx="2705100" cy="2095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137160</xdr:colOff>
      <xdr:row>2</xdr:row>
      <xdr:rowOff>123825</xdr:rowOff>
    </xdr:from>
    <xdr:to>
      <xdr:col>5</xdr:col>
      <xdr:colOff>430530</xdr:colOff>
      <xdr:row>2</xdr:row>
      <xdr:rowOff>510540</xdr:rowOff>
    </xdr:to>
    <xdr:pic>
      <xdr:nvPicPr>
        <xdr:cNvPr id="3" name="Grafik 2">
          <a:extLst>
            <a:ext uri="{FF2B5EF4-FFF2-40B4-BE49-F238E27FC236}">
              <a16:creationId xmlns:a16="http://schemas.microsoft.com/office/drawing/2014/main" id="{48C80D4E-DBE5-FF2D-1B87-4D459A589E44}"/>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899160" y="504825"/>
          <a:ext cx="4530090" cy="38671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205740</xdr:colOff>
      <xdr:row>46</xdr:row>
      <xdr:rowOff>99060</xdr:rowOff>
    </xdr:from>
    <xdr:to>
      <xdr:col>4</xdr:col>
      <xdr:colOff>762000</xdr:colOff>
      <xdr:row>46</xdr:row>
      <xdr:rowOff>487680</xdr:rowOff>
    </xdr:to>
    <xdr:pic>
      <xdr:nvPicPr>
        <xdr:cNvPr id="4" name="Grafik 3">
          <a:extLst>
            <a:ext uri="{FF2B5EF4-FFF2-40B4-BE49-F238E27FC236}">
              <a16:creationId xmlns:a16="http://schemas.microsoft.com/office/drawing/2014/main" id="{A26DEBC6-063E-5241-84F8-E5126D634C70}"/>
            </a:ext>
          </a:extLst>
        </xdr:cNvPr>
        <xdr:cNvPicPr>
          <a:picLocks noChangeAspect="1"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967740" y="2865120"/>
          <a:ext cx="3230880" cy="388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169545</xdr:colOff>
      <xdr:row>40</xdr:row>
      <xdr:rowOff>118110</xdr:rowOff>
    </xdr:from>
    <xdr:to>
      <xdr:col>7</xdr:col>
      <xdr:colOff>1554480</xdr:colOff>
      <xdr:row>41</xdr:row>
      <xdr:rowOff>0</xdr:rowOff>
    </xdr:to>
    <xdr:pic>
      <xdr:nvPicPr>
        <xdr:cNvPr id="3" name="Grafik 2">
          <a:extLst>
            <a:ext uri="{FF2B5EF4-FFF2-40B4-BE49-F238E27FC236}">
              <a16:creationId xmlns:a16="http://schemas.microsoft.com/office/drawing/2014/main" id="{B7A7AE96-1BB9-8560-F1BF-20128A82D30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2025" y="7730490"/>
          <a:ext cx="6795135" cy="400050"/>
        </a:xfrm>
        <a:prstGeom prst="rect">
          <a:avLst/>
        </a:prstGeom>
        <a:extLst>
          <a:ext uri="{909E8E84-426E-40DD-AFC4-6F175D3DCCD1}">
            <a14:hiddenFill xmlns:a14="http://schemas.microsoft.com/office/drawing/2010/main">
              <a:solidFill>
                <a:srgbClr val="FFFFFF"/>
              </a:solidFill>
            </a14:hiddenFill>
          </a:ext>
        </a:extLst>
      </xdr:spPr>
    </xdr:pic>
    <xdr:clientData/>
  </xdr:twoCellAnchor>
  <xdr:twoCellAnchor>
    <xdr:from>
      <xdr:col>1</xdr:col>
      <xdr:colOff>60960</xdr:colOff>
      <xdr:row>74</xdr:row>
      <xdr:rowOff>83820</xdr:rowOff>
    </xdr:from>
    <xdr:to>
      <xdr:col>5</xdr:col>
      <xdr:colOff>260985</xdr:colOff>
      <xdr:row>74</xdr:row>
      <xdr:rowOff>419100</xdr:rowOff>
    </xdr:to>
    <xdr:pic>
      <xdr:nvPicPr>
        <xdr:cNvPr id="4" name="Grafik 3">
          <a:extLst>
            <a:ext uri="{FF2B5EF4-FFF2-40B4-BE49-F238E27FC236}">
              <a16:creationId xmlns:a16="http://schemas.microsoft.com/office/drawing/2014/main" id="{25C5CDD6-C77C-C822-794A-AB3C799FEE64}"/>
            </a:ext>
          </a:extLst>
        </xdr:cNvPr>
        <xdr:cNvPicPr>
          <a:picLocks noChangeAspect="1"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853440" y="14036040"/>
          <a:ext cx="4025265" cy="3352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114300</xdr:colOff>
      <xdr:row>106</xdr:row>
      <xdr:rowOff>114300</xdr:rowOff>
    </xdr:from>
    <xdr:to>
      <xdr:col>5</xdr:col>
      <xdr:colOff>45720</xdr:colOff>
      <xdr:row>106</xdr:row>
      <xdr:rowOff>320040</xdr:rowOff>
    </xdr:to>
    <xdr:pic>
      <xdr:nvPicPr>
        <xdr:cNvPr id="2" name="Grafik 1">
          <a:extLst>
            <a:ext uri="{FF2B5EF4-FFF2-40B4-BE49-F238E27FC236}">
              <a16:creationId xmlns:a16="http://schemas.microsoft.com/office/drawing/2014/main" id="{BEE8699A-C62C-B433-D44F-20B2121DF38B}"/>
            </a:ext>
          </a:extLst>
        </xdr:cNvPr>
        <xdr:cNvPicPr>
          <a:picLocks noChangeAspect="1" noChangeArrowheads="1"/>
        </xdr:cNvPicPr>
      </xdr:nvPicPr>
      <xdr:blipFill>
        <a:blip xmlns:r="http://schemas.openxmlformats.org/officeDocument/2006/relationships" r:embed="rId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906780" y="21518880"/>
          <a:ext cx="3756660" cy="2057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140</xdr:row>
      <xdr:rowOff>0</xdr:rowOff>
    </xdr:from>
    <xdr:to>
      <xdr:col>6</xdr:col>
      <xdr:colOff>10442</xdr:colOff>
      <xdr:row>140</xdr:row>
      <xdr:rowOff>236220</xdr:rowOff>
    </xdr:to>
    <xdr:pic>
      <xdr:nvPicPr>
        <xdr:cNvPr id="5" name="Grafik 4">
          <a:extLst>
            <a:ext uri="{FF2B5EF4-FFF2-40B4-BE49-F238E27FC236}">
              <a16:creationId xmlns:a16="http://schemas.microsoft.com/office/drawing/2014/main" id="{C166C030-1C16-054A-3DE5-A3F1123C22E6}"/>
            </a:ext>
          </a:extLst>
        </xdr:cNvPr>
        <xdr:cNvPicPr>
          <a:picLocks noChangeAspect="1" noChangeArrowheads="1"/>
        </xdr:cNvPicPr>
      </xdr:nvPicPr>
      <xdr:blipFill>
        <a:blip xmlns:r="http://schemas.openxmlformats.org/officeDocument/2006/relationships" r:embed="rId4">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92480" y="27820620"/>
          <a:ext cx="4628162" cy="2362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753851</xdr:colOff>
      <xdr:row>15</xdr:row>
      <xdr:rowOff>177012</xdr:rowOff>
    </xdr:from>
    <xdr:to>
      <xdr:col>5</xdr:col>
      <xdr:colOff>1233911</xdr:colOff>
      <xdr:row>42</xdr:row>
      <xdr:rowOff>146532</xdr:rowOff>
    </xdr:to>
    <xdr:graphicFrame macro="">
      <xdr:nvGraphicFramePr>
        <xdr:cNvPr id="6" name="Diagramm 5">
          <a:extLst>
            <a:ext uri="{FF2B5EF4-FFF2-40B4-BE49-F238E27FC236}">
              <a16:creationId xmlns:a16="http://schemas.microsoft.com/office/drawing/2014/main" id="{D11F49D0-39F5-4EC3-BC17-9F06A6FFA6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650</xdr:colOff>
      <xdr:row>16</xdr:row>
      <xdr:rowOff>4847</xdr:rowOff>
    </xdr:from>
    <xdr:to>
      <xdr:col>10</xdr:col>
      <xdr:colOff>68130</xdr:colOff>
      <xdr:row>42</xdr:row>
      <xdr:rowOff>164867</xdr:rowOff>
    </xdr:to>
    <xdr:graphicFrame macro="">
      <xdr:nvGraphicFramePr>
        <xdr:cNvPr id="7" name="Diagramm 6">
          <a:extLst>
            <a:ext uri="{FF2B5EF4-FFF2-40B4-BE49-F238E27FC236}">
              <a16:creationId xmlns:a16="http://schemas.microsoft.com/office/drawing/2014/main" id="{FDCBA503-A11B-42D0-9700-CE60CEB4EF9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oeko.de/publikation/oekobilanz-digitaler-dienstleistungen/"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89B0C4-2AA5-4912-A12F-D822187D73BF}">
  <dimension ref="B2:D27"/>
  <sheetViews>
    <sheetView tabSelected="1" workbookViewId="0"/>
  </sheetViews>
  <sheetFormatPr baseColWidth="10" defaultRowHeight="14.5" x14ac:dyDescent="0.35"/>
  <cols>
    <col min="1" max="1" width="5.453125" customWidth="1"/>
    <col min="2" max="2" width="5.1796875" customWidth="1"/>
    <col min="3" max="3" width="87.26953125" bestFit="1" customWidth="1"/>
    <col min="4" max="4" width="4" customWidth="1"/>
  </cols>
  <sheetData>
    <row r="2" spans="2:4" x14ac:dyDescent="0.35">
      <c r="B2" s="119"/>
      <c r="C2" s="119"/>
      <c r="D2" s="119"/>
    </row>
    <row r="3" spans="2:4" ht="22.5" x14ac:dyDescent="0.35">
      <c r="B3" s="119"/>
      <c r="C3" s="120" t="s">
        <v>566</v>
      </c>
      <c r="D3" s="119"/>
    </row>
    <row r="4" spans="2:4" ht="17.5" x14ac:dyDescent="0.35">
      <c r="B4" s="119"/>
      <c r="C4" s="121" t="s">
        <v>567</v>
      </c>
      <c r="D4" s="119"/>
    </row>
    <row r="5" spans="2:4" ht="17.5" x14ac:dyDescent="0.35">
      <c r="B5" s="119"/>
      <c r="C5" s="121" t="s">
        <v>568</v>
      </c>
      <c r="D5" s="119"/>
    </row>
    <row r="6" spans="2:4" x14ac:dyDescent="0.35">
      <c r="B6" s="119"/>
      <c r="C6" s="122" t="s">
        <v>569</v>
      </c>
      <c r="D6" s="119"/>
    </row>
    <row r="7" spans="2:4" x14ac:dyDescent="0.35">
      <c r="B7" s="119"/>
      <c r="C7" s="122"/>
      <c r="D7" s="119"/>
    </row>
    <row r="8" spans="2:4" x14ac:dyDescent="0.35">
      <c r="B8" s="119"/>
      <c r="C8" s="124" t="s">
        <v>590</v>
      </c>
      <c r="D8" s="119"/>
    </row>
    <row r="9" spans="2:4" x14ac:dyDescent="0.35">
      <c r="B9" s="119"/>
      <c r="C9" s="119"/>
      <c r="D9" s="119"/>
    </row>
    <row r="10" spans="2:4" x14ac:dyDescent="0.35">
      <c r="B10" s="119"/>
      <c r="C10" s="118" t="s">
        <v>570</v>
      </c>
      <c r="D10" s="119"/>
    </row>
    <row r="11" spans="2:4" ht="58" x14ac:dyDescent="0.35">
      <c r="B11" s="119"/>
      <c r="C11" s="123" t="s">
        <v>601</v>
      </c>
      <c r="D11" s="119"/>
    </row>
    <row r="12" spans="2:4" x14ac:dyDescent="0.35">
      <c r="B12" s="119"/>
      <c r="C12" s="119"/>
      <c r="D12" s="119"/>
    </row>
    <row r="13" spans="2:4" x14ac:dyDescent="0.35">
      <c r="B13" s="119"/>
      <c r="C13" s="118" t="s">
        <v>608</v>
      </c>
      <c r="D13" s="119"/>
    </row>
    <row r="14" spans="2:4" x14ac:dyDescent="0.35">
      <c r="B14" s="119"/>
      <c r="C14" s="117" t="s">
        <v>599</v>
      </c>
      <c r="D14" s="119"/>
    </row>
    <row r="15" spans="2:4" ht="43.5" x14ac:dyDescent="0.35">
      <c r="B15" s="119"/>
      <c r="C15" s="123" t="s">
        <v>612</v>
      </c>
      <c r="D15" s="119"/>
    </row>
    <row r="16" spans="2:4" x14ac:dyDescent="0.35">
      <c r="B16" s="119"/>
      <c r="C16" s="70" t="s">
        <v>610</v>
      </c>
      <c r="D16" s="119"/>
    </row>
    <row r="17" spans="2:4" ht="29" x14ac:dyDescent="0.35">
      <c r="B17" s="119"/>
      <c r="C17" s="123" t="s">
        <v>611</v>
      </c>
      <c r="D17" s="119"/>
    </row>
    <row r="18" spans="2:4" x14ac:dyDescent="0.35">
      <c r="B18" s="119"/>
      <c r="C18" s="119"/>
      <c r="D18" s="119"/>
    </row>
    <row r="19" spans="2:4" x14ac:dyDescent="0.35">
      <c r="B19" s="119"/>
      <c r="C19" s="118" t="s">
        <v>606</v>
      </c>
      <c r="D19" s="119"/>
    </row>
    <row r="20" spans="2:4" x14ac:dyDescent="0.35">
      <c r="B20" s="119"/>
      <c r="C20" s="119" t="s">
        <v>607</v>
      </c>
      <c r="D20" s="119"/>
    </row>
    <row r="21" spans="2:4" x14ac:dyDescent="0.35">
      <c r="B21" s="119"/>
      <c r="C21" s="119" t="s">
        <v>602</v>
      </c>
      <c r="D21" s="119"/>
    </row>
    <row r="22" spans="2:4" x14ac:dyDescent="0.35">
      <c r="B22" s="119"/>
      <c r="C22" s="119" t="s">
        <v>603</v>
      </c>
      <c r="D22" s="119"/>
    </row>
    <row r="23" spans="2:4" x14ac:dyDescent="0.35">
      <c r="B23" s="119"/>
      <c r="C23" s="119" t="s">
        <v>604</v>
      </c>
      <c r="D23" s="119"/>
    </row>
    <row r="24" spans="2:4" x14ac:dyDescent="0.35">
      <c r="B24" s="119"/>
      <c r="C24" s="119" t="s">
        <v>605</v>
      </c>
      <c r="D24" s="119"/>
    </row>
    <row r="25" spans="2:4" x14ac:dyDescent="0.35">
      <c r="B25" s="119"/>
      <c r="C25" s="119"/>
      <c r="D25" s="119"/>
    </row>
    <row r="26" spans="2:4" x14ac:dyDescent="0.35">
      <c r="C26" s="125" t="s">
        <v>609</v>
      </c>
    </row>
    <row r="27" spans="2:4" x14ac:dyDescent="0.35">
      <c r="B27" s="119"/>
      <c r="C27" s="119"/>
      <c r="D27" s="119"/>
    </row>
  </sheetData>
  <hyperlinks>
    <hyperlink ref="C26" r:id="rId1" xr:uid="{4457943F-D4CD-4CA5-91DE-D1D579E6F503}"/>
  </hyperlinks>
  <pageMargins left="0.7" right="0.7" top="0.78740157499999996" bottom="0.78740157499999996"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76BE8-A246-45B3-8D31-47119C282E34}">
  <dimension ref="B2:H167"/>
  <sheetViews>
    <sheetView workbookViewId="0"/>
  </sheetViews>
  <sheetFormatPr baseColWidth="10" defaultRowHeight="14.5" x14ac:dyDescent="0.35"/>
  <cols>
    <col min="1" max="1" width="4.7265625" customWidth="1"/>
    <col min="2" max="2" width="29.453125" customWidth="1"/>
    <col min="3" max="3" width="17.26953125" customWidth="1"/>
    <col min="6" max="6" width="23.453125" customWidth="1"/>
    <col min="7" max="7" width="13.453125" customWidth="1"/>
    <col min="8" max="8" width="134.81640625" bestFit="1" customWidth="1"/>
  </cols>
  <sheetData>
    <row r="2" spans="2:8" ht="21" x14ac:dyDescent="0.5">
      <c r="B2" s="69" t="s">
        <v>194</v>
      </c>
    </row>
    <row r="3" spans="2:8" ht="16.5" customHeight="1" x14ac:dyDescent="0.5">
      <c r="B3" s="69"/>
    </row>
    <row r="4" spans="2:8" ht="16.5" customHeight="1" x14ac:dyDescent="0.5">
      <c r="B4" s="69"/>
      <c r="C4" s="73" t="s">
        <v>195</v>
      </c>
      <c r="D4" s="59" t="s">
        <v>344</v>
      </c>
      <c r="H4" s="59" t="s">
        <v>212</v>
      </c>
    </row>
    <row r="5" spans="2:8" ht="16.5" customHeight="1" x14ac:dyDescent="0.5">
      <c r="B5" s="69"/>
      <c r="C5" s="59"/>
      <c r="D5" s="59"/>
      <c r="H5" s="59"/>
    </row>
    <row r="6" spans="2:8" ht="16.5" customHeight="1" x14ac:dyDescent="0.45">
      <c r="B6" s="60" t="s">
        <v>395</v>
      </c>
      <c r="D6" s="59"/>
      <c r="H6" s="70" t="str">
        <f>B6</f>
        <v># Allgemeine Informationen zu der Hardware (Plattform)</v>
      </c>
    </row>
    <row r="7" spans="2:8" ht="16.5" customHeight="1" x14ac:dyDescent="0.5">
      <c r="B7" s="69"/>
      <c r="D7" s="59"/>
      <c r="H7" s="59"/>
    </row>
    <row r="8" spans="2:8" ht="16.5" customHeight="1" x14ac:dyDescent="0.35">
      <c r="B8" t="s">
        <v>393</v>
      </c>
      <c r="C8" s="71" t="s">
        <v>392</v>
      </c>
      <c r="D8" s="74" t="s">
        <v>591</v>
      </c>
      <c r="H8" s="61" t="str">
        <f>IF(B8&lt;&gt;"",B8&amp;" = """&amp;C8&amp;""" # "&amp;D8,"")</f>
        <v>Platform_ID = "Beispielserver zu Testzwecken" # Text: Eindeutige Bezeichnung der Plattform (input)</v>
      </c>
    </row>
    <row r="10" spans="2:8" ht="18.5" x14ac:dyDescent="0.45">
      <c r="B10" s="60" t="s">
        <v>391</v>
      </c>
      <c r="H10" s="70" t="str">
        <f>B10</f>
        <v># Informationsverfügbarkeit zu besonders besorgniserregenden Stoffen (auf Geräteebene)</v>
      </c>
    </row>
    <row r="12" spans="2:8" x14ac:dyDescent="0.35">
      <c r="B12" t="s">
        <v>390</v>
      </c>
      <c r="C12" s="71">
        <v>5</v>
      </c>
      <c r="D12" t="s">
        <v>592</v>
      </c>
      <c r="H12" s="61" t="str">
        <f>IF(B12&lt;&gt;"",B12&amp;" = "&amp;C12&amp;" # "&amp;D12,"")</f>
        <v>SVHC_Score = 5 # [1...5] (input)</v>
      </c>
    </row>
    <row r="14" spans="2:8" ht="18.5" x14ac:dyDescent="0.45">
      <c r="B14" s="60" t="s">
        <v>353</v>
      </c>
      <c r="H14" s="70" t="str">
        <f>B14</f>
        <v># Netto EI_hw</v>
      </c>
    </row>
    <row r="15" spans="2:8" x14ac:dyDescent="0.35">
      <c r="H15" s="70"/>
    </row>
    <row r="16" spans="2:8" x14ac:dyDescent="0.35">
      <c r="B16" t="s">
        <v>128</v>
      </c>
      <c r="C16" s="71">
        <v>600.55255490000002</v>
      </c>
      <c r="D16" s="51" t="s">
        <v>593</v>
      </c>
      <c r="H16" s="61" t="str">
        <f t="shared" ref="H16:H25" si="0">IF(B16&lt;&gt;"",B16&amp;" = "&amp;SUBSTITUTE(IF(C16&lt;1,TEXT(C16,"0,0000E+00"),TEXT(C16,"0,0000")),",",".")&amp;" # "&amp;D16,"")</f>
        <v>CED_CPU = 600.5526 # MJ (input)</v>
      </c>
    </row>
    <row r="17" spans="2:8" x14ac:dyDescent="0.35">
      <c r="B17" t="s">
        <v>130</v>
      </c>
      <c r="C17" s="71">
        <v>0</v>
      </c>
      <c r="D17" t="s">
        <v>593</v>
      </c>
      <c r="H17" s="61" t="str">
        <f t="shared" si="0"/>
        <v>CED_GPU = 0.0000E+00 # MJ (input)</v>
      </c>
    </row>
    <row r="18" spans="2:8" x14ac:dyDescent="0.35">
      <c r="B18" t="s">
        <v>131</v>
      </c>
      <c r="C18" s="71">
        <v>1031.089035</v>
      </c>
      <c r="D18" s="51" t="s">
        <v>593</v>
      </c>
      <c r="H18" s="61" t="str">
        <f t="shared" si="0"/>
        <v>CED_RAM = 1031.0890 # MJ (input)</v>
      </c>
    </row>
    <row r="19" spans="2:8" x14ac:dyDescent="0.35">
      <c r="B19" t="s">
        <v>132</v>
      </c>
      <c r="C19" s="71">
        <v>1334.818571</v>
      </c>
      <c r="D19" s="51" t="s">
        <v>593</v>
      </c>
      <c r="H19" s="61" t="str">
        <f t="shared" si="0"/>
        <v>CED_SSD = 1334.8186 # MJ (input)</v>
      </c>
    </row>
    <row r="20" spans="2:8" x14ac:dyDescent="0.35">
      <c r="B20" t="s">
        <v>133</v>
      </c>
      <c r="C20" s="71">
        <v>941.97721920000004</v>
      </c>
      <c r="D20" s="51" t="s">
        <v>593</v>
      </c>
      <c r="H20" s="61" t="str">
        <f t="shared" si="0"/>
        <v>CED_PCB = 941.9772 # MJ (input)</v>
      </c>
    </row>
    <row r="21" spans="2:8" x14ac:dyDescent="0.35">
      <c r="B21" t="s">
        <v>134</v>
      </c>
      <c r="C21" s="71">
        <v>1080.5567140000001</v>
      </c>
      <c r="D21" s="51" t="s">
        <v>593</v>
      </c>
      <c r="H21" s="61" t="str">
        <f t="shared" si="0"/>
        <v>CED_Chassis = 1080.5567 # MJ (input)</v>
      </c>
    </row>
    <row r="22" spans="2:8" x14ac:dyDescent="0.35">
      <c r="B22" t="s">
        <v>135</v>
      </c>
      <c r="C22" s="71">
        <v>0</v>
      </c>
      <c r="D22" s="51" t="s">
        <v>593</v>
      </c>
      <c r="H22" s="61" t="str">
        <f t="shared" si="0"/>
        <v>CED_HDD = 0.0000E+00 # MJ (input)</v>
      </c>
    </row>
    <row r="23" spans="2:8" x14ac:dyDescent="0.35">
      <c r="B23" t="s">
        <v>136</v>
      </c>
      <c r="C23" s="71">
        <v>898.51688490000004</v>
      </c>
      <c r="D23" s="51" t="s">
        <v>593</v>
      </c>
      <c r="H23" s="61" t="str">
        <f t="shared" si="0"/>
        <v>CED_PSUetc = 898.5169 # MJ (input)</v>
      </c>
    </row>
    <row r="24" spans="2:8" x14ac:dyDescent="0.35">
      <c r="B24" t="s">
        <v>137</v>
      </c>
      <c r="C24" s="71">
        <v>67.685987319999995</v>
      </c>
      <c r="D24" s="51" t="s">
        <v>593</v>
      </c>
      <c r="H24" s="61" t="str">
        <f t="shared" si="0"/>
        <v>CED_AssTest = 67.6860 # MJ (input)</v>
      </c>
    </row>
    <row r="25" spans="2:8" x14ac:dyDescent="0.35">
      <c r="B25" t="s">
        <v>138</v>
      </c>
      <c r="C25" s="71">
        <v>150.53950159999999</v>
      </c>
      <c r="D25" s="51" t="s">
        <v>593</v>
      </c>
      <c r="H25" s="61" t="str">
        <f t="shared" si="0"/>
        <v>CED_Ports = 150.5395 # MJ (input)</v>
      </c>
    </row>
    <row r="26" spans="2:8" x14ac:dyDescent="0.35">
      <c r="B26" s="52" t="s">
        <v>139</v>
      </c>
      <c r="C26" s="53">
        <f xml:space="preserve"> CED_CPU + CED_GPU + CED_RAM + CED_SSD + CED_PCB + CED_Chassis + CED_HDD + CED_PSUetc + CED_AssTest + CED_Ports</f>
        <v>6105.7364679200009</v>
      </c>
      <c r="D26" s="54" t="s">
        <v>593</v>
      </c>
      <c r="H26" s="61" t="str">
        <f ca="1">IF(AND(B26&lt;&gt;"",C26&lt;&gt;""),B26&amp;" "&amp;_xlfn.FORMULATEXT(C26),"")</f>
        <v>CED_Sum = CED_CPU + CED_GPU + CED_RAM + CED_SSD + CED_PCB + CED_Chassis + CED_HDD + CED_PSUetc + CED_AssTest + CED_Ports</v>
      </c>
    </row>
    <row r="27" spans="2:8" x14ac:dyDescent="0.35">
      <c r="C27" s="50"/>
      <c r="D27" s="55"/>
      <c r="H27" s="61" t="str">
        <f t="shared" ref="H27:H37" si="1">IF(B27&lt;&gt;"",B27&amp;" = "&amp;SUBSTITUTE(IF(C27&lt;1,TEXT(C27,"0,0000E+00"),TEXT(C27,"0,0000")),",",".")&amp;" # "&amp;D27,"")</f>
        <v/>
      </c>
    </row>
    <row r="28" spans="2:8" x14ac:dyDescent="0.35">
      <c r="B28" t="s">
        <v>140</v>
      </c>
      <c r="C28" s="71">
        <v>43.10545406</v>
      </c>
      <c r="D28" s="51" t="s">
        <v>594</v>
      </c>
      <c r="H28" s="61" t="str">
        <f t="shared" si="1"/>
        <v>GWP_CPU = 43.1055 # kg CO2 eq (input)</v>
      </c>
    </row>
    <row r="29" spans="2:8" x14ac:dyDescent="0.35">
      <c r="B29" t="s">
        <v>141</v>
      </c>
      <c r="C29" s="71">
        <v>0</v>
      </c>
      <c r="D29" t="s">
        <v>594</v>
      </c>
      <c r="H29" s="61" t="str">
        <f t="shared" si="1"/>
        <v>GWP_GPU = 0.0000E+00 # kg CO2 eq (input)</v>
      </c>
    </row>
    <row r="30" spans="2:8" x14ac:dyDescent="0.35">
      <c r="B30" t="s">
        <v>142</v>
      </c>
      <c r="C30" s="71">
        <v>81.711550630000005</v>
      </c>
      <c r="D30" t="s">
        <v>594</v>
      </c>
      <c r="H30" s="61" t="str">
        <f t="shared" si="1"/>
        <v>GWP_RAM = 81.7116 # kg CO2 eq (input)</v>
      </c>
    </row>
    <row r="31" spans="2:8" x14ac:dyDescent="0.35">
      <c r="B31" t="s">
        <v>143</v>
      </c>
      <c r="C31" s="71">
        <v>108.68635089999999</v>
      </c>
      <c r="D31" t="s">
        <v>594</v>
      </c>
      <c r="H31" s="61" t="str">
        <f t="shared" si="1"/>
        <v>GWP_SSD = 108.6864 # kg CO2 eq (input)</v>
      </c>
    </row>
    <row r="32" spans="2:8" x14ac:dyDescent="0.35">
      <c r="B32" t="s">
        <v>144</v>
      </c>
      <c r="C32" s="71">
        <v>75.806081050000003</v>
      </c>
      <c r="D32" t="s">
        <v>594</v>
      </c>
      <c r="H32" s="61" t="str">
        <f t="shared" si="1"/>
        <v>GWP_PCB = 75.8061 # kg CO2 eq (input)</v>
      </c>
    </row>
    <row r="33" spans="2:8" x14ac:dyDescent="0.35">
      <c r="B33" t="s">
        <v>145</v>
      </c>
      <c r="C33" s="71">
        <v>79.829480709999999</v>
      </c>
      <c r="D33" t="s">
        <v>594</v>
      </c>
      <c r="H33" s="61" t="str">
        <f t="shared" si="1"/>
        <v>GWP_Chassis = 79.8295 # kg CO2 eq (input)</v>
      </c>
    </row>
    <row r="34" spans="2:8" x14ac:dyDescent="0.35">
      <c r="B34" t="s">
        <v>146</v>
      </c>
      <c r="C34" s="71">
        <v>0</v>
      </c>
      <c r="D34" t="s">
        <v>594</v>
      </c>
      <c r="H34" s="61" t="str">
        <f t="shared" si="1"/>
        <v>GWP_HDD = 0.0000E+00 # kg CO2 eq (input)</v>
      </c>
    </row>
    <row r="35" spans="2:8" x14ac:dyDescent="0.35">
      <c r="B35" t="s">
        <v>147</v>
      </c>
      <c r="C35" s="71">
        <v>62.677459210000002</v>
      </c>
      <c r="D35" t="s">
        <v>594</v>
      </c>
      <c r="H35" s="61" t="str">
        <f t="shared" si="1"/>
        <v>GWP_PSUetc = 62.6775 # kg CO2 eq (input)</v>
      </c>
    </row>
    <row r="36" spans="2:8" x14ac:dyDescent="0.35">
      <c r="B36" t="s">
        <v>148</v>
      </c>
      <c r="C36" s="71">
        <v>4.7216896960000003</v>
      </c>
      <c r="D36" t="s">
        <v>594</v>
      </c>
      <c r="H36" s="61" t="str">
        <f t="shared" si="1"/>
        <v>GWP_AssTest = 4.7217 # kg CO2 eq (input)</v>
      </c>
    </row>
    <row r="37" spans="2:8" x14ac:dyDescent="0.35">
      <c r="B37" t="s">
        <v>149</v>
      </c>
      <c r="C37" s="71">
        <v>12.019145569999999</v>
      </c>
      <c r="D37" t="s">
        <v>594</v>
      </c>
      <c r="H37" s="61" t="str">
        <f t="shared" si="1"/>
        <v>GWP_Ports = 12.0191 # kg CO2 eq (input)</v>
      </c>
    </row>
    <row r="38" spans="2:8" x14ac:dyDescent="0.35">
      <c r="B38" s="52" t="s">
        <v>150</v>
      </c>
      <c r="C38" s="53">
        <f xml:space="preserve"> GWP_CPU + GWP_GPU + GWP_RAM + GWP_SSD + GWP_PCB + GWP_Chassis + GWP_HDD + GWP_PSUetc + GWP_AssTest + GWP_Ports</f>
        <v>468.55721182599996</v>
      </c>
      <c r="D38" s="54" t="s">
        <v>594</v>
      </c>
      <c r="H38" s="61" t="str">
        <f ca="1">IF(AND(B38&lt;&gt;"",C38&lt;&gt;""),B38&amp;" "&amp;_xlfn.FORMULATEXT(C38),"")</f>
        <v>GWP_Sum = GWP_CPU + GWP_GPU + GWP_RAM + GWP_SSD + GWP_PCB + GWP_Chassis + GWP_HDD + GWP_PSUetc + GWP_AssTest + GWP_Ports</v>
      </c>
    </row>
    <row r="39" spans="2:8" x14ac:dyDescent="0.35">
      <c r="C39" s="50"/>
      <c r="D39" s="51"/>
      <c r="H39" s="61" t="str">
        <f t="shared" ref="H39:H49" si="2">IF(B39&lt;&gt;"",B39&amp;" = "&amp;SUBSTITUTE(IF(C39&lt;1,TEXT(C39,"0,0000E+00"),TEXT(C39,"0,0000")),",",".")&amp;" # "&amp;D39,"")</f>
        <v/>
      </c>
    </row>
    <row r="40" spans="2:8" x14ac:dyDescent="0.35">
      <c r="B40" t="s">
        <v>151</v>
      </c>
      <c r="C40" s="71">
        <v>4.4859667999999998E-2</v>
      </c>
      <c r="D40" t="s">
        <v>595</v>
      </c>
      <c r="H40" s="61" t="str">
        <f t="shared" si="2"/>
        <v>ADP_CPU = 4.4860E-02 # kg Sb eq (input)</v>
      </c>
    </row>
    <row r="41" spans="2:8" x14ac:dyDescent="0.35">
      <c r="B41" t="s">
        <v>153</v>
      </c>
      <c r="C41" s="71">
        <v>0</v>
      </c>
      <c r="D41" t="s">
        <v>595</v>
      </c>
      <c r="H41" s="61" t="str">
        <f t="shared" si="2"/>
        <v>ADP_GPU = 0.0000E+00 # kg Sb eq (input)</v>
      </c>
    </row>
    <row r="42" spans="2:8" x14ac:dyDescent="0.35">
      <c r="B42" t="s">
        <v>154</v>
      </c>
      <c r="C42" s="71">
        <v>9.4449900000000003E-3</v>
      </c>
      <c r="D42" t="s">
        <v>595</v>
      </c>
      <c r="H42" s="61" t="str">
        <f t="shared" si="2"/>
        <v>ADP_RAM = 9.4450E-03 # kg Sb eq (input)</v>
      </c>
    </row>
    <row r="43" spans="2:8" x14ac:dyDescent="0.35">
      <c r="B43" t="s">
        <v>155</v>
      </c>
      <c r="C43" s="71">
        <v>5.6831540000000002E-3</v>
      </c>
      <c r="D43" t="s">
        <v>595</v>
      </c>
      <c r="H43" s="61" t="str">
        <f t="shared" si="2"/>
        <v>ADP_SSD = 5.6832E-03 # kg Sb eq (input)</v>
      </c>
    </row>
    <row r="44" spans="2:8" x14ac:dyDescent="0.35">
      <c r="B44" t="s">
        <v>156</v>
      </c>
      <c r="C44" s="71">
        <v>6.829229E-3</v>
      </c>
      <c r="D44" t="s">
        <v>595</v>
      </c>
      <c r="H44" s="61" t="str">
        <f t="shared" si="2"/>
        <v>ADP_PCB = 6.8292E-03 # kg Sb eq (input)</v>
      </c>
    </row>
    <row r="45" spans="2:8" x14ac:dyDescent="0.35">
      <c r="B45" t="s">
        <v>157</v>
      </c>
      <c r="C45" s="71">
        <v>2.7508490000000001E-3</v>
      </c>
      <c r="D45" t="s">
        <v>595</v>
      </c>
      <c r="H45" s="61" t="str">
        <f t="shared" si="2"/>
        <v>ADP_Chassis = 2.7508E-03 # kg Sb eq (input)</v>
      </c>
    </row>
    <row r="46" spans="2:8" x14ac:dyDescent="0.35">
      <c r="B46" t="s">
        <v>158</v>
      </c>
      <c r="C46" s="71">
        <v>0</v>
      </c>
      <c r="D46" t="s">
        <v>595</v>
      </c>
      <c r="H46" s="61" t="str">
        <f t="shared" si="2"/>
        <v>ADP_HDD = 0.0000E+00 # kg Sb eq (input)</v>
      </c>
    </row>
    <row r="47" spans="2:8" x14ac:dyDescent="0.35">
      <c r="B47" t="s">
        <v>159</v>
      </c>
      <c r="C47" s="71">
        <v>2.2607505999999999E-2</v>
      </c>
      <c r="D47" t="s">
        <v>595</v>
      </c>
      <c r="H47" s="61" t="str">
        <f t="shared" si="2"/>
        <v>ADP_PSUetc = 2.2608E-02 # kg Sb eq (input)</v>
      </c>
    </row>
    <row r="48" spans="2:8" x14ac:dyDescent="0.35">
      <c r="B48" t="s">
        <v>160</v>
      </c>
      <c r="C48" s="72">
        <v>4.7842699999999997E-6</v>
      </c>
      <c r="D48" t="s">
        <v>595</v>
      </c>
      <c r="H48" s="61" t="str">
        <f t="shared" si="2"/>
        <v>ADP_AssTest = 4.7843E-06 # kg Sb eq (input)</v>
      </c>
    </row>
    <row r="49" spans="2:8" x14ac:dyDescent="0.35">
      <c r="B49" t="s">
        <v>161</v>
      </c>
      <c r="C49" s="71">
        <v>1.3206310000000001E-3</v>
      </c>
      <c r="D49" t="s">
        <v>595</v>
      </c>
      <c r="H49" s="61" t="str">
        <f t="shared" si="2"/>
        <v>ADP_Ports = 1.3206E-03 # kg Sb eq (input)</v>
      </c>
    </row>
    <row r="50" spans="2:8" x14ac:dyDescent="0.35">
      <c r="B50" s="52" t="s">
        <v>162</v>
      </c>
      <c r="C50" s="53">
        <f xml:space="preserve"> ADP_CPU + ADP_GPU + ADP_RAM + ADP_SSD + ADP_PCB + ADP_Chassis + ADP_HDD + ADP_PSUetc + ADP_AssTest + ADP_Ports</f>
        <v>9.3500811270000012E-2</v>
      </c>
      <c r="D50" s="54" t="s">
        <v>595</v>
      </c>
      <c r="H50" s="61" t="str">
        <f ca="1">IF(AND(B50&lt;&gt;"",C50&lt;&gt;""),B50&amp;" "&amp;_xlfn.FORMULATEXT(C50),"")</f>
        <v>ADP_Sum = ADP_CPU + ADP_GPU + ADP_RAM + ADP_SSD + ADP_PCB + ADP_Chassis + ADP_HDD + ADP_PSUetc + ADP_AssTest + ADP_Ports</v>
      </c>
    </row>
    <row r="51" spans="2:8" x14ac:dyDescent="0.35">
      <c r="C51" s="50"/>
      <c r="D51" s="51"/>
      <c r="H51" s="61" t="str">
        <f t="shared" ref="H51:H61" si="3">IF(B51&lt;&gt;"",B51&amp;" = "&amp;SUBSTITUTE(IF(C51&lt;1,TEXT(C51,"0,0000E+00"),TEXT(C51,"0,0000")),",",".")&amp;" # "&amp;D51,"")</f>
        <v/>
      </c>
    </row>
    <row r="52" spans="2:8" x14ac:dyDescent="0.35">
      <c r="B52" t="s">
        <v>163</v>
      </c>
      <c r="C52" s="71">
        <v>11.72572703</v>
      </c>
      <c r="D52" t="s">
        <v>596</v>
      </c>
      <c r="H52" s="61" t="str">
        <f t="shared" si="3"/>
        <v>Water_CPU = 11.7257 # m³ World eq (input)</v>
      </c>
    </row>
    <row r="53" spans="2:8" x14ac:dyDescent="0.35">
      <c r="B53" t="s">
        <v>165</v>
      </c>
      <c r="C53" s="71">
        <v>0</v>
      </c>
      <c r="D53" t="s">
        <v>596</v>
      </c>
      <c r="H53" s="61" t="str">
        <f t="shared" si="3"/>
        <v>Water_GPU = 0.0000E+00 # m³ World eq (input)</v>
      </c>
    </row>
    <row r="54" spans="2:8" x14ac:dyDescent="0.35">
      <c r="B54" t="s">
        <v>166</v>
      </c>
      <c r="C54" s="71">
        <v>27.464238850000001</v>
      </c>
      <c r="D54" t="s">
        <v>596</v>
      </c>
      <c r="H54" s="61" t="str">
        <f t="shared" si="3"/>
        <v>Water_RAM = 27.4642 # m³ World eq (input)</v>
      </c>
    </row>
    <row r="55" spans="2:8" x14ac:dyDescent="0.35">
      <c r="B55" t="s">
        <v>167</v>
      </c>
      <c r="C55" s="71">
        <v>46.67670056</v>
      </c>
      <c r="D55" t="s">
        <v>596</v>
      </c>
      <c r="H55" s="61" t="str">
        <f t="shared" si="3"/>
        <v>Water_SSD = 46.6767 # m³ World eq (input)</v>
      </c>
    </row>
    <row r="56" spans="2:8" x14ac:dyDescent="0.35">
      <c r="B56" t="s">
        <v>168</v>
      </c>
      <c r="C56" s="71">
        <v>35.238620740000002</v>
      </c>
      <c r="D56" t="s">
        <v>596</v>
      </c>
      <c r="H56" s="61" t="str">
        <f t="shared" si="3"/>
        <v>Water_PCB = 35.2386 # m³ World eq (input)</v>
      </c>
    </row>
    <row r="57" spans="2:8" x14ac:dyDescent="0.35">
      <c r="B57" t="s">
        <v>169</v>
      </c>
      <c r="C57" s="71">
        <v>24.280070559999999</v>
      </c>
      <c r="D57" t="s">
        <v>596</v>
      </c>
      <c r="H57" s="61" t="str">
        <f t="shared" si="3"/>
        <v>Water_Chassis = 24.2801 # m³ World eq (input)</v>
      </c>
    </row>
    <row r="58" spans="2:8" x14ac:dyDescent="0.35">
      <c r="B58" t="s">
        <v>170</v>
      </c>
      <c r="C58" s="71">
        <v>0</v>
      </c>
      <c r="D58" t="s">
        <v>596</v>
      </c>
      <c r="H58" s="61" t="str">
        <f t="shared" si="3"/>
        <v>Water_HDD = 0.0000E+00 # m³ World eq (input)</v>
      </c>
    </row>
    <row r="59" spans="2:8" x14ac:dyDescent="0.35">
      <c r="B59" t="s">
        <v>171</v>
      </c>
      <c r="C59" s="71">
        <v>24.893917609999999</v>
      </c>
      <c r="D59" t="s">
        <v>596</v>
      </c>
      <c r="H59" s="61" t="str">
        <f t="shared" si="3"/>
        <v>Water_PSUetc = 24.8939 # m³ World eq (input)</v>
      </c>
    </row>
    <row r="60" spans="2:8" x14ac:dyDescent="0.35">
      <c r="B60" t="s">
        <v>172</v>
      </c>
      <c r="C60" s="71">
        <v>0.92531549800000001</v>
      </c>
      <c r="D60" t="s">
        <v>596</v>
      </c>
      <c r="H60" s="61" t="str">
        <f t="shared" si="3"/>
        <v>Water_AssTest = 9.2532E-01 # m³ World eq (input)</v>
      </c>
    </row>
    <row r="61" spans="2:8" x14ac:dyDescent="0.35">
      <c r="B61" t="s">
        <v>173</v>
      </c>
      <c r="C61" s="71">
        <v>5.7277895430000001</v>
      </c>
      <c r="D61" t="s">
        <v>596</v>
      </c>
      <c r="H61" s="61" t="str">
        <f t="shared" si="3"/>
        <v>Water_Ports = 5.7278 # m³ World eq (input)</v>
      </c>
    </row>
    <row r="62" spans="2:8" x14ac:dyDescent="0.35">
      <c r="B62" s="52" t="s">
        <v>174</v>
      </c>
      <c r="C62" s="53">
        <f xml:space="preserve"> Water_CPU + Water_GPU + Water_RAM + Water_SSD + Water_PCB + Water_Chassis + Water_HDD + Water_PSUetc + Water_AssTest + Water_Ports</f>
        <v>176.93238039100001</v>
      </c>
      <c r="D62" s="54" t="s">
        <v>596</v>
      </c>
      <c r="H62" s="61" t="str">
        <f ca="1">IF(AND(B62&lt;&gt;"",C62&lt;&gt;""),B62&amp;" "&amp;_xlfn.FORMULATEXT(C62),"")</f>
        <v>Water_Sum = Water_CPU + Water_GPU + Water_RAM + Water_SSD + Water_PCB + Water_Chassis + Water_HDD + Water_PSUetc + Water_AssTest + Water_Ports</v>
      </c>
    </row>
    <row r="63" spans="2:8" x14ac:dyDescent="0.35">
      <c r="B63" s="97"/>
      <c r="C63" s="98"/>
      <c r="D63" s="99"/>
      <c r="H63" s="61" t="str">
        <f ca="1">IF(AND(B63&lt;&gt;"",C63&lt;&gt;""),B63&amp;" "&amp;_xlfn.FORMULATEXT(C63),"")</f>
        <v/>
      </c>
    </row>
    <row r="64" spans="2:8" x14ac:dyDescent="0.35">
      <c r="B64" t="s">
        <v>304</v>
      </c>
      <c r="C64" s="71">
        <v>0.1</v>
      </c>
      <c r="D64" t="s">
        <v>597</v>
      </c>
      <c r="H64" s="61" t="str">
        <f t="shared" ref="H64:H73" si="4">IF(B64&lt;&gt;"",B64&amp;" = "&amp;SUBSTITUTE(IF(C64&lt;1,TEXT(C64,"0,0000E+00"),TEXT(C64,"0,0000")),",",".")&amp;" # "&amp;D64,"")</f>
        <v>WEEE_CPU = 1.0000E-01 # kg WEEE (input)</v>
      </c>
    </row>
    <row r="65" spans="2:8" x14ac:dyDescent="0.35">
      <c r="B65" t="s">
        <v>305</v>
      </c>
      <c r="C65" s="71">
        <v>0.1</v>
      </c>
      <c r="D65" t="s">
        <v>597</v>
      </c>
      <c r="H65" s="61" t="str">
        <f t="shared" si="4"/>
        <v>WEEE_GPU = 1.0000E-01 # kg WEEE (input)</v>
      </c>
    </row>
    <row r="66" spans="2:8" x14ac:dyDescent="0.35">
      <c r="B66" t="s">
        <v>306</v>
      </c>
      <c r="C66" s="71">
        <v>0.1</v>
      </c>
      <c r="D66" t="s">
        <v>597</v>
      </c>
      <c r="H66" s="61" t="str">
        <f t="shared" si="4"/>
        <v>WEEE_RAM = 1.0000E-01 # kg WEEE (input)</v>
      </c>
    </row>
    <row r="67" spans="2:8" x14ac:dyDescent="0.35">
      <c r="B67" t="s">
        <v>307</v>
      </c>
      <c r="C67" s="71">
        <v>1</v>
      </c>
      <c r="D67" t="s">
        <v>597</v>
      </c>
      <c r="H67" s="61" t="str">
        <f t="shared" si="4"/>
        <v>WEEE_SSD = 1.0000 # kg WEEE (input)</v>
      </c>
    </row>
    <row r="68" spans="2:8" x14ac:dyDescent="0.35">
      <c r="B68" t="s">
        <v>308</v>
      </c>
      <c r="C68" s="71">
        <v>1</v>
      </c>
      <c r="D68" t="s">
        <v>597</v>
      </c>
      <c r="H68" s="61" t="str">
        <f t="shared" si="4"/>
        <v>WEEE_PCB = 1.0000 # kg WEEE (input)</v>
      </c>
    </row>
    <row r="69" spans="2:8" x14ac:dyDescent="0.35">
      <c r="B69" t="s">
        <v>309</v>
      </c>
      <c r="C69" s="71">
        <v>14.6</v>
      </c>
      <c r="D69" t="s">
        <v>597</v>
      </c>
      <c r="H69" s="61" t="str">
        <f t="shared" si="4"/>
        <v>WEEE_Chassis = 14.6000 # kg WEEE (input)</v>
      </c>
    </row>
    <row r="70" spans="2:8" x14ac:dyDescent="0.35">
      <c r="B70" t="s">
        <v>310</v>
      </c>
      <c r="C70" s="71">
        <v>0</v>
      </c>
      <c r="D70" t="s">
        <v>597</v>
      </c>
      <c r="H70" s="61" t="str">
        <f t="shared" si="4"/>
        <v>WEEE_HDD = 0.0000E+00 # kg WEEE (input)</v>
      </c>
    </row>
    <row r="71" spans="2:8" x14ac:dyDescent="0.35">
      <c r="B71" t="s">
        <v>311</v>
      </c>
      <c r="C71" s="71">
        <v>3</v>
      </c>
      <c r="D71" t="s">
        <v>597</v>
      </c>
      <c r="H71" s="61" t="str">
        <f t="shared" si="4"/>
        <v>WEEE_PSUetc = 3.0000 # kg WEEE (input)</v>
      </c>
    </row>
    <row r="72" spans="2:8" x14ac:dyDescent="0.35">
      <c r="B72" t="s">
        <v>312</v>
      </c>
      <c r="C72" s="71">
        <v>0</v>
      </c>
      <c r="D72" t="s">
        <v>597</v>
      </c>
      <c r="H72" s="61" t="str">
        <f t="shared" si="4"/>
        <v>WEEE_AssTest = 0.0000E+00 # kg WEEE (input)</v>
      </c>
    </row>
    <row r="73" spans="2:8" x14ac:dyDescent="0.35">
      <c r="B73" t="s">
        <v>313</v>
      </c>
      <c r="C73" s="71">
        <v>0.1</v>
      </c>
      <c r="D73" t="s">
        <v>597</v>
      </c>
      <c r="H73" s="61" t="str">
        <f t="shared" si="4"/>
        <v>WEEE_Ports = 1.0000E-01 # kg WEEE (input)</v>
      </c>
    </row>
    <row r="74" spans="2:8" x14ac:dyDescent="0.35">
      <c r="B74" s="52" t="s">
        <v>314</v>
      </c>
      <c r="C74" s="53">
        <f xml:space="preserve"> WEEE_CPU + WEEE_GPU + WEEE_RAM + WEEE_SSD + WEEE_PCB + WEEE_Chassis + WEEE_HDD + WEEE_PSUetc + WEEE_AssTest + WEEE_Ports</f>
        <v>20</v>
      </c>
      <c r="D74" s="54" t="s">
        <v>597</v>
      </c>
      <c r="H74" s="61" t="str">
        <f ca="1">IF(AND(B74&lt;&gt;"",C74&lt;&gt;""),B74&amp;" "&amp;_xlfn.FORMULATEXT(C74),"")</f>
        <v>WEEE_Sum = WEEE_CPU + WEEE_GPU + WEEE_RAM + WEEE_SSD + WEEE_PCB + WEEE_Chassis + WEEE_HDD + WEEE_PSUetc + WEEE_AssTest + WEEE_Ports</v>
      </c>
    </row>
    <row r="75" spans="2:8" x14ac:dyDescent="0.35">
      <c r="B75" s="97"/>
      <c r="C75" s="98"/>
      <c r="D75" s="99"/>
      <c r="H75" s="61" t="str">
        <f ca="1">IF(AND(B75&lt;&gt;"",C75&lt;&gt;""),B75&amp;" "&amp;_xlfn.FORMULATEXT(C75),"")</f>
        <v/>
      </c>
    </row>
    <row r="76" spans="2:8" x14ac:dyDescent="0.35">
      <c r="B76" t="s">
        <v>315</v>
      </c>
      <c r="C76" s="71">
        <v>0.1</v>
      </c>
      <c r="D76" t="s">
        <v>598</v>
      </c>
      <c r="H76" s="61" t="str">
        <f t="shared" ref="H76:H85" si="5">IF(B76&lt;&gt;"",B76&amp;" = "&amp;SUBSTITUTE(IF(C76&lt;1,TEXT(C76,"0,0000E+00"),TEXT(C76,"0,0000")),",",".")&amp;" # "&amp;D76,"")</f>
        <v>TOX_CPU = 1.0000E-01 # kg MEG eq (input)</v>
      </c>
    </row>
    <row r="77" spans="2:8" x14ac:dyDescent="0.35">
      <c r="B77" t="s">
        <v>316</v>
      </c>
      <c r="C77" s="71">
        <v>0.1</v>
      </c>
      <c r="D77" t="s">
        <v>598</v>
      </c>
      <c r="H77" s="61" t="str">
        <f t="shared" si="5"/>
        <v>TOX_GPU = 1.0000E-01 # kg MEG eq (input)</v>
      </c>
    </row>
    <row r="78" spans="2:8" x14ac:dyDescent="0.35">
      <c r="B78" t="s">
        <v>317</v>
      </c>
      <c r="C78" s="71">
        <v>0.1</v>
      </c>
      <c r="D78" t="s">
        <v>598</v>
      </c>
      <c r="H78" s="61" t="str">
        <f t="shared" si="5"/>
        <v>TOX_RAM = 1.0000E-01 # kg MEG eq (input)</v>
      </c>
    </row>
    <row r="79" spans="2:8" x14ac:dyDescent="0.35">
      <c r="B79" t="s">
        <v>318</v>
      </c>
      <c r="C79" s="71">
        <v>0.1</v>
      </c>
      <c r="D79" t="s">
        <v>598</v>
      </c>
      <c r="H79" s="61" t="str">
        <f t="shared" si="5"/>
        <v>TOX_SSD = 1.0000E-01 # kg MEG eq (input)</v>
      </c>
    </row>
    <row r="80" spans="2:8" x14ac:dyDescent="0.35">
      <c r="B80" t="s">
        <v>319</v>
      </c>
      <c r="C80" s="71">
        <v>0.1</v>
      </c>
      <c r="D80" t="s">
        <v>598</v>
      </c>
      <c r="H80" s="61" t="str">
        <f t="shared" si="5"/>
        <v>TOX_PCB = 1.0000E-01 # kg MEG eq (input)</v>
      </c>
    </row>
    <row r="81" spans="2:8" x14ac:dyDescent="0.35">
      <c r="B81" t="s">
        <v>320</v>
      </c>
      <c r="C81" s="71">
        <v>0.1</v>
      </c>
      <c r="D81" t="s">
        <v>598</v>
      </c>
      <c r="H81" s="61" t="str">
        <f t="shared" si="5"/>
        <v>TOX_Chassis = 1.0000E-01 # kg MEG eq (input)</v>
      </c>
    </row>
    <row r="82" spans="2:8" x14ac:dyDescent="0.35">
      <c r="B82" t="s">
        <v>321</v>
      </c>
      <c r="C82" s="71">
        <v>0.1</v>
      </c>
      <c r="D82" t="s">
        <v>598</v>
      </c>
      <c r="H82" s="61" t="str">
        <f t="shared" si="5"/>
        <v>TOX_HDD = 1.0000E-01 # kg MEG eq (input)</v>
      </c>
    </row>
    <row r="83" spans="2:8" x14ac:dyDescent="0.35">
      <c r="B83" t="s">
        <v>322</v>
      </c>
      <c r="C83" s="71">
        <v>0.1</v>
      </c>
      <c r="D83" t="s">
        <v>598</v>
      </c>
      <c r="H83" s="61" t="str">
        <f t="shared" si="5"/>
        <v>TOX_PSUetc = 1.0000E-01 # kg MEG eq (input)</v>
      </c>
    </row>
    <row r="84" spans="2:8" x14ac:dyDescent="0.35">
      <c r="B84" t="s">
        <v>323</v>
      </c>
      <c r="C84" s="71">
        <v>0.1</v>
      </c>
      <c r="D84" t="s">
        <v>598</v>
      </c>
      <c r="H84" s="61" t="str">
        <f t="shared" si="5"/>
        <v>TOX_AssTest = 1.0000E-01 # kg MEG eq (input)</v>
      </c>
    </row>
    <row r="85" spans="2:8" x14ac:dyDescent="0.35">
      <c r="B85" t="s">
        <v>324</v>
      </c>
      <c r="C85" s="71">
        <v>0.1</v>
      </c>
      <c r="D85" t="s">
        <v>598</v>
      </c>
      <c r="H85" s="61" t="str">
        <f t="shared" si="5"/>
        <v>TOX_Ports = 1.0000E-01 # kg MEG eq (input)</v>
      </c>
    </row>
    <row r="86" spans="2:8" x14ac:dyDescent="0.35">
      <c r="B86" s="52" t="s">
        <v>325</v>
      </c>
      <c r="C86" s="53">
        <f xml:space="preserve"> TOX_CPU + TOX_GPU + TOX_RAM + TOX_SSD + TOX_PCB + TOX_Chassis + TOX_HDD + TOX_PSUetc + TOX_AssTest + TOX_Ports</f>
        <v>0.99999999999999989</v>
      </c>
      <c r="D86" s="54" t="s">
        <v>597</v>
      </c>
      <c r="H86" s="61" t="str">
        <f ca="1">IF(AND(B86&lt;&gt;"",C86&lt;&gt;""),B86&amp;" "&amp;_xlfn.FORMULATEXT(C86),"")</f>
        <v>TOX_Sum = TOX_CPU + TOX_GPU + TOX_RAM + TOX_SSD + TOX_PCB + TOX_Chassis + TOX_HDD + TOX_PSUetc + TOX_AssTest + TOX_Ports</v>
      </c>
    </row>
    <row r="88" spans="2:8" ht="18.5" x14ac:dyDescent="0.45">
      <c r="B88" s="60" t="s">
        <v>192</v>
      </c>
      <c r="H88" s="70" t="str">
        <f>B88</f>
        <v># Zuordnungsfaktor für Overhead zhw</v>
      </c>
    </row>
    <row r="89" spans="2:8" ht="40.5" customHeight="1" x14ac:dyDescent="0.35"/>
    <row r="90" spans="2:8" x14ac:dyDescent="0.35">
      <c r="B90" t="s">
        <v>196</v>
      </c>
      <c r="C90" s="62">
        <f xml:space="preserve"> (CED_CPU + CED_GPU) / (CED_CPU + CED_GPU + CED_RAM + CED_SSD + CED_HDD + CED_Ports)</f>
        <v>0.19267007376520687</v>
      </c>
      <c r="D90" s="57"/>
      <c r="H90" s="61" t="str">
        <f t="shared" ref="H90:H118" ca="1" si="6">IF(AND(B90&lt;&gt;"",C90&lt;&gt;""),B90&amp;" "&amp;_xlfn.FORMULATEXT(C90),"")</f>
        <v>z_CED_compute = (CED_CPU + CED_GPU) / (CED_CPU + CED_GPU + CED_RAM + CED_SSD + CED_HDD + CED_Ports)</v>
      </c>
    </row>
    <row r="91" spans="2:8" x14ac:dyDescent="0.35">
      <c r="B91" t="s">
        <v>197</v>
      </c>
      <c r="C91" s="62">
        <f xml:space="preserve"> CED_RAM / (CED_CPU + CED_GPU + CED_RAM + CED_SSD + CED_HDD + CED_Ports)</f>
        <v>0.33079536305532076</v>
      </c>
      <c r="D91" s="57"/>
      <c r="H91" s="61" t="str">
        <f t="shared" ca="1" si="6"/>
        <v>z_CED_memorize = CED_RAM / (CED_CPU + CED_GPU + CED_RAM + CED_SSD + CED_HDD + CED_Ports)</v>
      </c>
    </row>
    <row r="92" spans="2:8" x14ac:dyDescent="0.35">
      <c r="B92" t="s">
        <v>198</v>
      </c>
      <c r="C92" s="62">
        <f xml:space="preserve"> (CED_SSD + CED_HDD) / (CED_CPU + CED_GPU + CED_RAM + CED_SSD + CED_HDD + CED_Ports)</f>
        <v>0.42823827896388161</v>
      </c>
      <c r="D92" s="57"/>
      <c r="H92" s="61" t="str">
        <f t="shared" ca="1" si="6"/>
        <v>z_CED_store = (CED_SSD + CED_HDD) / (CED_CPU + CED_GPU + CED_RAM + CED_SSD + CED_HDD + CED_Ports)</v>
      </c>
    </row>
    <row r="93" spans="2:8" x14ac:dyDescent="0.35">
      <c r="B93" t="s">
        <v>199</v>
      </c>
      <c r="C93" s="62">
        <f xml:space="preserve"> CED_Ports / (CED_CPU + CED_GPU + CED_RAM + CED_SSD + CED_HDD + CED_Ports)</f>
        <v>4.8296284215590603E-2</v>
      </c>
      <c r="D93" s="57"/>
      <c r="H93" s="61" t="str">
        <f t="shared" ca="1" si="6"/>
        <v>z_CED_transfer = CED_Ports / (CED_CPU + CED_GPU + CED_RAM + CED_SSD + CED_HDD + CED_Ports)</v>
      </c>
    </row>
    <row r="94" spans="2:8" x14ac:dyDescent="0.35">
      <c r="H94" s="61" t="str">
        <f t="shared" ca="1" si="6"/>
        <v/>
      </c>
    </row>
    <row r="95" spans="2:8" x14ac:dyDescent="0.35">
      <c r="B95" t="s">
        <v>200</v>
      </c>
      <c r="C95" s="62">
        <f xml:space="preserve"> (GWP_CPU + GWP_GPU) / (GWP_CPU + GWP_GPU + GWP_RAM + GWP_SSD + GWP_HDD + GWP_Ports)</f>
        <v>0.17556620617802116</v>
      </c>
      <c r="D95" s="57"/>
      <c r="H95" s="61" t="str">
        <f t="shared" ca="1" si="6"/>
        <v>z_GWP_compute = (GWP_CPU + GWP_GPU) / (GWP_CPU + GWP_GPU + GWP_RAM + GWP_SSD + GWP_HDD + GWP_Ports)</v>
      </c>
    </row>
    <row r="96" spans="2:8" x14ac:dyDescent="0.35">
      <c r="B96" t="s">
        <v>201</v>
      </c>
      <c r="C96" s="62">
        <f xml:space="preserve"> GWP_RAM / (GWP_CPU + GWP_GPU + GWP_RAM + GWP_SSD + GWP_HDD + GWP_Ports)</f>
        <v>0.33280677023060673</v>
      </c>
      <c r="D96" s="57"/>
      <c r="H96" s="61" t="str">
        <f t="shared" ca="1" si="6"/>
        <v>z_GWP_memorize = GWP_RAM / (GWP_CPU + GWP_GPU + GWP_RAM + GWP_SSD + GWP_HDD + GWP_Ports)</v>
      </c>
    </row>
    <row r="97" spans="2:8" x14ac:dyDescent="0.35">
      <c r="B97" t="s">
        <v>202</v>
      </c>
      <c r="C97" s="62">
        <f xml:space="preserve"> (GWP_SSD + GWP_HDD) / (GWP_CPU + GWP_GPU + GWP_RAM + GWP_SSD + GWP_HDD + GWP_Ports)</f>
        <v>0.44267368728527329</v>
      </c>
      <c r="D97" s="57"/>
      <c r="H97" s="61" t="str">
        <f t="shared" ca="1" si="6"/>
        <v>z_GWP_store = (GWP_SSD + GWP_HDD) / (GWP_CPU + GWP_GPU + GWP_RAM + GWP_SSD + GWP_HDD + GWP_Ports)</v>
      </c>
    </row>
    <row r="98" spans="2:8" x14ac:dyDescent="0.35">
      <c r="B98" t="s">
        <v>203</v>
      </c>
      <c r="C98" s="62">
        <f xml:space="preserve"> GWP_Ports / (GWP_CPU + GWP_GPU + GWP_RAM + GWP_SSD + GWP_HDD + GWP_Ports)</f>
        <v>4.8953336306098744E-2</v>
      </c>
      <c r="D98" s="57"/>
      <c r="H98" s="61" t="str">
        <f t="shared" ca="1" si="6"/>
        <v>z_GWP_transfer = GWP_Ports / (GWP_CPU + GWP_GPU + GWP_RAM + GWP_SSD + GWP_HDD + GWP_Ports)</v>
      </c>
    </row>
    <row r="99" spans="2:8" x14ac:dyDescent="0.35">
      <c r="D99" s="57"/>
      <c r="H99" s="61" t="str">
        <f t="shared" ca="1" si="6"/>
        <v/>
      </c>
    </row>
    <row r="100" spans="2:8" x14ac:dyDescent="0.35">
      <c r="B100" t="s">
        <v>204</v>
      </c>
      <c r="C100" s="62">
        <f xml:space="preserve"> (ADP_CPU + ADP_GPU) / (ADP_CPU + ADP_GPU + ADP_RAM + ADP_SSD + ADP_HDD + ADP_Ports)</f>
        <v>0.73170457126109034</v>
      </c>
      <c r="D100" s="57"/>
      <c r="H100" s="61" t="str">
        <f t="shared" ca="1" si="6"/>
        <v>z_ADP_compute = (ADP_CPU + ADP_GPU) / (ADP_CPU + ADP_GPU + ADP_RAM + ADP_SSD + ADP_HDD + ADP_Ports)</v>
      </c>
    </row>
    <row r="101" spans="2:8" x14ac:dyDescent="0.35">
      <c r="B101" t="s">
        <v>205</v>
      </c>
      <c r="C101" s="62">
        <f xml:space="preserve"> ADP_RAM / (ADP_CPU + ADP_GPU + ADP_RAM + ADP_SSD + ADP_HDD + ADP_Ports)</f>
        <v>0.15405692165433071</v>
      </c>
      <c r="D101" s="57"/>
      <c r="H101" s="61" t="str">
        <f t="shared" ca="1" si="6"/>
        <v>z_ADP_memorize = ADP_RAM / (ADP_CPU + ADP_GPU + ADP_RAM + ADP_SSD + ADP_HDD + ADP_Ports)</v>
      </c>
    </row>
    <row r="102" spans="2:8" x14ac:dyDescent="0.35">
      <c r="B102" t="s">
        <v>206</v>
      </c>
      <c r="C102" s="62">
        <f xml:space="preserve"> (ADP_SSD + ADP_HDD) / (ADP_CPU + ADP_GPU + ADP_RAM + ADP_SSD + ADP_HDD + ADP_Ports)</f>
        <v>9.269773822179761E-2</v>
      </c>
      <c r="D102" s="57"/>
      <c r="H102" s="61" t="str">
        <f t="shared" ca="1" si="6"/>
        <v>z_ADP_store = (ADP_SSD + ADP_HDD) / (ADP_CPU + ADP_GPU + ADP_RAM + ADP_SSD + ADP_HDD + ADP_Ports)</v>
      </c>
    </row>
    <row r="103" spans="2:8" x14ac:dyDescent="0.35">
      <c r="B103" t="s">
        <v>207</v>
      </c>
      <c r="C103" s="62">
        <f xml:space="preserve"> ADP_Ports / (ADP_CPU + ADP_GPU + ADP_RAM + ADP_SSD + ADP_HDD + ADP_Ports)</f>
        <v>2.1540768862781265E-2</v>
      </c>
      <c r="D103" s="57"/>
      <c r="H103" s="61" t="str">
        <f t="shared" ca="1" si="6"/>
        <v>z_ADP_transfer = ADP_Ports / (ADP_CPU + ADP_GPU + ADP_RAM + ADP_SSD + ADP_HDD + ADP_Ports)</v>
      </c>
    </row>
    <row r="104" spans="2:8" x14ac:dyDescent="0.35">
      <c r="D104" s="57"/>
      <c r="H104" s="61" t="str">
        <f t="shared" ca="1" si="6"/>
        <v/>
      </c>
    </row>
    <row r="105" spans="2:8" x14ac:dyDescent="0.35">
      <c r="B105" t="s">
        <v>208</v>
      </c>
      <c r="C105" s="62">
        <f xml:space="preserve"> (Water_CPU + Water_GPU) / (Water_CPU + Water_GPU + Water_RAM + Water_SSD + Water_HDD + Water_Ports)</f>
        <v>0.12801786859432085</v>
      </c>
      <c r="D105" s="57"/>
      <c r="H105" s="61" t="str">
        <f t="shared" ca="1" si="6"/>
        <v>z_Water_compute = (Water_CPU + Water_GPU) / (Water_CPU + Water_GPU + Water_RAM + Water_SSD + Water_HDD + Water_Ports)</v>
      </c>
    </row>
    <row r="106" spans="2:8" x14ac:dyDescent="0.35">
      <c r="B106" t="s">
        <v>209</v>
      </c>
      <c r="C106" s="62">
        <f xml:space="preserve"> Water_RAM / (Water_CPU + Water_GPU + Water_RAM + Water_SSD + Water_HDD + Water_Ports)</f>
        <v>0.29984608298888071</v>
      </c>
      <c r="D106" s="57"/>
      <c r="H106" s="61" t="str">
        <f t="shared" ca="1" si="6"/>
        <v>z_Water_memorize = Water_RAM / (Water_CPU + Water_GPU + Water_RAM + Water_SSD + Water_HDD + Water_Ports)</v>
      </c>
    </row>
    <row r="107" spans="2:8" x14ac:dyDescent="0.35">
      <c r="B107" t="s">
        <v>210</v>
      </c>
      <c r="C107" s="62">
        <f xml:space="preserve"> (Water_SSD + Water_HDD) / (Water_CPU + Water_GPU + Water_RAM + Water_SSD + Water_HDD + Water_Ports)</f>
        <v>0.50960181005565697</v>
      </c>
      <c r="D107" s="57"/>
      <c r="H107" s="61" t="str">
        <f t="shared" ca="1" si="6"/>
        <v>z_Water_store = (Water_SSD + Water_HDD) / (Water_CPU + Water_GPU + Water_RAM + Water_SSD + Water_HDD + Water_Ports)</v>
      </c>
    </row>
    <row r="108" spans="2:8" x14ac:dyDescent="0.35">
      <c r="B108" t="s">
        <v>211</v>
      </c>
      <c r="C108" s="62">
        <f xml:space="preserve"> Water_Ports / (Water_CPU + Water_GPU + Water_RAM + Water_SSD + Water_HDD + Water_Ports)</f>
        <v>6.2534238361141442E-2</v>
      </c>
      <c r="D108" s="57"/>
      <c r="H108" s="61" t="str">
        <f t="shared" ca="1" si="6"/>
        <v>z_Water_transfer = Water_Ports / (Water_CPU + Water_GPU + Water_RAM + Water_SSD + Water_HDD + Water_Ports)</v>
      </c>
    </row>
    <row r="109" spans="2:8" x14ac:dyDescent="0.35">
      <c r="D109" s="57"/>
      <c r="H109" s="61" t="str">
        <f t="shared" ca="1" si="6"/>
        <v/>
      </c>
    </row>
    <row r="110" spans="2:8" x14ac:dyDescent="0.35">
      <c r="B110" t="s">
        <v>328</v>
      </c>
      <c r="C110" s="62">
        <f xml:space="preserve"> (WEEE_CPU + WEEE_GPU) / (WEEE_CPU + WEEE_GPU + WEEE_RAM + WEEE_SSD + WEEE_HDD + WEEE_Ports)</f>
        <v>0.14285714285714285</v>
      </c>
      <c r="D110" s="57"/>
      <c r="H110" s="61" t="str">
        <f t="shared" ca="1" si="6"/>
        <v>z_WEEE_compute = (WEEE_CPU + WEEE_GPU) / (WEEE_CPU + WEEE_GPU + WEEE_RAM + WEEE_SSD + WEEE_HDD + WEEE_Ports)</v>
      </c>
    </row>
    <row r="111" spans="2:8" x14ac:dyDescent="0.35">
      <c r="B111" t="s">
        <v>329</v>
      </c>
      <c r="C111" s="62">
        <f xml:space="preserve"> WEEE_RAM / (WEEE_CPU + WEEE_GPU + WEEE_RAM + WEEE_SSD + WEEE_HDD + WEEE_Ports)</f>
        <v>7.1428571428571425E-2</v>
      </c>
      <c r="D111" s="57"/>
      <c r="H111" s="61" t="str">
        <f t="shared" ca="1" si="6"/>
        <v>z_WEEE_memorize = WEEE_RAM / (WEEE_CPU + WEEE_GPU + WEEE_RAM + WEEE_SSD + WEEE_HDD + WEEE_Ports)</v>
      </c>
    </row>
    <row r="112" spans="2:8" x14ac:dyDescent="0.35">
      <c r="B112" t="s">
        <v>330</v>
      </c>
      <c r="C112" s="62">
        <f xml:space="preserve"> (WEEE_SSD + WEEE_HDD) / (WEEE_CPU + WEEE_GPU + WEEE_RAM + WEEE_SSD + WEEE_HDD + WEEE_Ports)</f>
        <v>0.71428571428571419</v>
      </c>
      <c r="D112" s="57"/>
      <c r="H112" s="61" t="str">
        <f t="shared" ca="1" si="6"/>
        <v>z_WEEE_store = (WEEE_SSD + WEEE_HDD) / (WEEE_CPU + WEEE_GPU + WEEE_RAM + WEEE_SSD + WEEE_HDD + WEEE_Ports)</v>
      </c>
    </row>
    <row r="113" spans="2:8" x14ac:dyDescent="0.35">
      <c r="B113" t="s">
        <v>331</v>
      </c>
      <c r="C113" s="62">
        <f xml:space="preserve"> WEEE_Ports / (WEEE_CPU + WEEE_GPU + WEEE_RAM + WEEE_SSD + WEEE_HDD + WEEE_Ports)</f>
        <v>7.1428571428571425E-2</v>
      </c>
      <c r="D113" s="57"/>
      <c r="H113" s="61" t="str">
        <f t="shared" ca="1" si="6"/>
        <v>z_WEEE_transfer = WEEE_Ports / (WEEE_CPU + WEEE_GPU + WEEE_RAM + WEEE_SSD + WEEE_HDD + WEEE_Ports)</v>
      </c>
    </row>
    <row r="114" spans="2:8" x14ac:dyDescent="0.35">
      <c r="D114" s="57"/>
      <c r="H114" s="61" t="str">
        <f t="shared" ca="1" si="6"/>
        <v/>
      </c>
    </row>
    <row r="115" spans="2:8" x14ac:dyDescent="0.35">
      <c r="B115" t="s">
        <v>332</v>
      </c>
      <c r="C115" s="62">
        <f xml:space="preserve"> (TOX_CPU + TOX_GPU) / (TOX_CPU + TOX_GPU + TOX_RAM + TOX_SSD + TOX_HDD + TOX_Ports)</f>
        <v>0.33333333333333337</v>
      </c>
      <c r="D115" s="57"/>
      <c r="H115" s="61" t="str">
        <f t="shared" ca="1" si="6"/>
        <v>z_TOX_compute = (TOX_CPU + TOX_GPU) / (TOX_CPU + TOX_GPU + TOX_RAM + TOX_SSD + TOX_HDD + TOX_Ports)</v>
      </c>
    </row>
    <row r="116" spans="2:8" x14ac:dyDescent="0.35">
      <c r="B116" t="s">
        <v>333</v>
      </c>
      <c r="C116" s="62">
        <f xml:space="preserve"> TOX_RAM / (TOX_CPU + TOX_GPU + TOX_RAM + TOX_SSD + TOX_HDD + TOX_Ports)</f>
        <v>0.16666666666666669</v>
      </c>
      <c r="D116" s="57"/>
      <c r="H116" s="61" t="str">
        <f t="shared" ca="1" si="6"/>
        <v>z_TOX_memorize = TOX_RAM / (TOX_CPU + TOX_GPU + TOX_RAM + TOX_SSD + TOX_HDD + TOX_Ports)</v>
      </c>
    </row>
    <row r="117" spans="2:8" x14ac:dyDescent="0.35">
      <c r="B117" t="s">
        <v>334</v>
      </c>
      <c r="C117" s="62">
        <f xml:space="preserve"> (TOX_SSD + TOX_HDD) / (TOX_CPU + TOX_GPU + TOX_RAM + TOX_SSD + TOX_HDD + TOX_Ports)</f>
        <v>0.33333333333333337</v>
      </c>
      <c r="D117" s="57"/>
      <c r="H117" s="61" t="str">
        <f t="shared" ca="1" si="6"/>
        <v>z_TOX_store = (TOX_SSD + TOX_HDD) / (TOX_CPU + TOX_GPU + TOX_RAM + TOX_SSD + TOX_HDD + TOX_Ports)</v>
      </c>
    </row>
    <row r="118" spans="2:8" x14ac:dyDescent="0.35">
      <c r="B118" t="s">
        <v>335</v>
      </c>
      <c r="C118" s="62">
        <f xml:space="preserve"> TOX_Ports / (TOX_CPU + TOX_GPU + TOX_RAM + TOX_SSD + TOX_HDD + TOX_Ports)</f>
        <v>0.16666666666666669</v>
      </c>
      <c r="D118" s="57"/>
      <c r="H118" s="61" t="str">
        <f t="shared" ca="1" si="6"/>
        <v>z_TOX_transfer = TOX_Ports / (TOX_CPU + TOX_GPU + TOX_RAM + TOX_SSD + TOX_HDD + TOX_Ports)</v>
      </c>
    </row>
    <row r="119" spans="2:8" x14ac:dyDescent="0.35">
      <c r="C119" s="56"/>
      <c r="D119" s="57"/>
    </row>
    <row r="120" spans="2:8" ht="18.5" x14ac:dyDescent="0.45">
      <c r="B120" s="60" t="s">
        <v>213</v>
      </c>
      <c r="D120" s="57"/>
      <c r="H120" s="70" t="str">
        <f>B120</f>
        <v># EI per DBR (manufacturing)</v>
      </c>
    </row>
    <row r="121" spans="2:8" ht="42.75" customHeight="1" x14ac:dyDescent="0.35"/>
    <row r="122" spans="2:8" x14ac:dyDescent="0.35">
      <c r="B122" t="s">
        <v>175</v>
      </c>
      <c r="C122" s="51">
        <f xml:space="preserve"> CED_Sum * z_CED_compute</f>
        <v>1176.3926956650603</v>
      </c>
      <c r="D122" s="51" t="s">
        <v>129</v>
      </c>
      <c r="E122" s="51">
        <f>(CED_CPU+CED_GPU)+(CED_PCB+CED_Chassis+CED_PSUetc+CED_AssTest)*z_CED_compute</f>
        <v>1176.3926956650603</v>
      </c>
      <c r="H122" s="61" t="str">
        <f t="shared" ref="H122:H150" ca="1" si="7">IF(AND(B122&lt;&gt;"",C122&lt;&gt;""),B122&amp;" "&amp;_xlfn.FORMULATEXT(C122)&amp;" # "&amp;D122,"")</f>
        <v>CED_co = CED_Sum * z_CED_compute # MJ</v>
      </c>
    </row>
    <row r="123" spans="2:8" x14ac:dyDescent="0.35">
      <c r="B123" t="s">
        <v>176</v>
      </c>
      <c r="C123" s="51">
        <f xml:space="preserve"> CED_Sum * z_CED_memorize</f>
        <v>2019.7493116257085</v>
      </c>
      <c r="D123" s="51" t="s">
        <v>129</v>
      </c>
      <c r="E123" s="51">
        <f>(CED_RAM)+(CED_PCB+CED_Chassis+CED_PSUetc+CED_AssTest)*z_CED_memorize</f>
        <v>2019.7493116257083</v>
      </c>
      <c r="H123" s="61" t="str">
        <f t="shared" ca="1" si="7"/>
        <v>CED_me = CED_Sum * z_CED_memorize # MJ</v>
      </c>
    </row>
    <row r="124" spans="2:8" x14ac:dyDescent="0.35">
      <c r="B124" t="s">
        <v>177</v>
      </c>
      <c r="C124" s="51">
        <f xml:space="preserve"> CED_Sum * z_CED_store</f>
        <v>2614.7100768290707</v>
      </c>
      <c r="D124" s="51" t="s">
        <v>129</v>
      </c>
      <c r="E124" s="51">
        <f>(CED_SSD+CED_HDD)+(CED_PCB+CED_Chassis+CED_PSUetc+CED_AssTest)*z_CED_store</f>
        <v>2614.7100768290702</v>
      </c>
      <c r="H124" s="61" t="str">
        <f t="shared" ca="1" si="7"/>
        <v>CED_st = CED_Sum * z_CED_store # MJ</v>
      </c>
    </row>
    <row r="125" spans="2:8" x14ac:dyDescent="0.35">
      <c r="B125" t="s">
        <v>178</v>
      </c>
      <c r="C125" s="51">
        <f xml:space="preserve"> CED_Sum * z_CED_transfer</f>
        <v>294.88438380016066</v>
      </c>
      <c r="D125" s="51" t="s">
        <v>129</v>
      </c>
      <c r="E125" s="51">
        <f>(CED_Ports)+(CED_PCB+CED_Chassis+CED_PSUetc+CED_AssTest)*z_CED_transfer</f>
        <v>294.88438380016066</v>
      </c>
      <c r="H125" s="61" t="str">
        <f t="shared" ca="1" si="7"/>
        <v>CED_tr = CED_Sum * z_CED_transfer # MJ</v>
      </c>
    </row>
    <row r="126" spans="2:8" x14ac:dyDescent="0.35">
      <c r="H126" s="61" t="str">
        <f t="shared" ca="1" si="7"/>
        <v/>
      </c>
    </row>
    <row r="127" spans="2:8" x14ac:dyDescent="0.35">
      <c r="B127" t="s">
        <v>179</v>
      </c>
      <c r="C127" s="51">
        <f xml:space="preserve"> GWP_Sum * z_GWP_compute</f>
        <v>82.262812057642236</v>
      </c>
      <c r="D127" s="51" t="s">
        <v>180</v>
      </c>
      <c r="H127" s="61" t="str">
        <f t="shared" ca="1" si="7"/>
        <v>GWP_co = GWP_Sum * z_GWP_compute # kg CO2 eq</v>
      </c>
    </row>
    <row r="128" spans="2:8" x14ac:dyDescent="0.35">
      <c r="B128" t="s">
        <v>181</v>
      </c>
      <c r="C128" s="51">
        <f xml:space="preserve"> GWP_Sum * z_GWP_memorize</f>
        <v>155.93901233606928</v>
      </c>
      <c r="D128" s="51" t="s">
        <v>180</v>
      </c>
      <c r="H128" s="61" t="str">
        <f t="shared" ca="1" si="7"/>
        <v>GWP_me = GWP_Sum * z_GWP_memorize # kg CO2 eq</v>
      </c>
    </row>
    <row r="129" spans="2:8" x14ac:dyDescent="0.35">
      <c r="B129" t="s">
        <v>182</v>
      </c>
      <c r="C129" s="51">
        <f xml:space="preserve"> GWP_Sum * z_GWP_store</f>
        <v>207.41794866312225</v>
      </c>
      <c r="D129" s="51" t="s">
        <v>180</v>
      </c>
      <c r="H129" s="61" t="str">
        <f t="shared" ca="1" si="7"/>
        <v>GWP_st = GWP_Sum * z_GWP_store # kg CO2 eq</v>
      </c>
    </row>
    <row r="130" spans="2:8" x14ac:dyDescent="0.35">
      <c r="B130" t="s">
        <v>183</v>
      </c>
      <c r="C130" s="51">
        <f xml:space="preserve"> GWP_Sum * z_GWP_transfer</f>
        <v>22.937438769166125</v>
      </c>
      <c r="D130" s="51" t="s">
        <v>180</v>
      </c>
      <c r="H130" s="61" t="str">
        <f t="shared" ca="1" si="7"/>
        <v>GWP_tr = GWP_Sum * z_GWP_transfer # kg CO2 eq</v>
      </c>
    </row>
    <row r="131" spans="2:8" x14ac:dyDescent="0.35">
      <c r="D131" s="51"/>
      <c r="H131" s="61" t="str">
        <f t="shared" ca="1" si="7"/>
        <v/>
      </c>
    </row>
    <row r="132" spans="2:8" x14ac:dyDescent="0.35">
      <c r="B132" t="s">
        <v>184</v>
      </c>
      <c r="C132" s="51">
        <f xml:space="preserve"> ADP_Sum * z_ADP_compute</f>
        <v>6.8414971022879481E-2</v>
      </c>
      <c r="D132" t="s">
        <v>152</v>
      </c>
      <c r="H132" s="61" t="str">
        <f t="shared" ca="1" si="7"/>
        <v>ADP_co = ADP_Sum * z_ADP_compute # kg Sb eq</v>
      </c>
    </row>
    <row r="133" spans="2:8" x14ac:dyDescent="0.35">
      <c r="B133" t="s">
        <v>185</v>
      </c>
      <c r="C133" s="51">
        <f xml:space="preserve"> ADP_Sum * z_ADP_memorize</f>
        <v>1.4404447156438753E-2</v>
      </c>
      <c r="D133" t="s">
        <v>152</v>
      </c>
      <c r="H133" s="61" t="str">
        <f t="shared" ca="1" si="7"/>
        <v>ADP_me = ADP_Sum * z_ADP_memorize # kg Sb eq</v>
      </c>
    </row>
    <row r="134" spans="2:8" x14ac:dyDescent="0.35">
      <c r="B134" t="s">
        <v>186</v>
      </c>
      <c r="C134" s="51">
        <f xml:space="preserve"> ADP_Sum * z_ADP_store</f>
        <v>8.6673137266321653E-3</v>
      </c>
      <c r="D134" t="s">
        <v>152</v>
      </c>
      <c r="H134" s="61" t="str">
        <f t="shared" ca="1" si="7"/>
        <v>ADP_st = ADP_Sum * z_ADP_store # kg Sb eq</v>
      </c>
    </row>
    <row r="135" spans="2:8" x14ac:dyDescent="0.35">
      <c r="B135" t="s">
        <v>187</v>
      </c>
      <c r="C135" s="51">
        <f xml:space="preserve"> ADP_Sum * z_ADP_transfer</f>
        <v>2.0140793640496036E-3</v>
      </c>
      <c r="D135" t="s">
        <v>152</v>
      </c>
      <c r="H135" s="61" t="str">
        <f t="shared" ca="1" si="7"/>
        <v>ADP_tr = ADP_Sum * z_ADP_transfer # kg Sb eq</v>
      </c>
    </row>
    <row r="136" spans="2:8" x14ac:dyDescent="0.35">
      <c r="D136" s="51"/>
      <c r="H136" s="61" t="str">
        <f t="shared" ca="1" si="7"/>
        <v/>
      </c>
    </row>
    <row r="137" spans="2:8" x14ac:dyDescent="0.35">
      <c r="B137" t="s">
        <v>188</v>
      </c>
      <c r="C137" s="51">
        <f xml:space="preserve"> Water_Sum * z_Water_compute</f>
        <v>22.65050622297543</v>
      </c>
      <c r="D137" t="s">
        <v>164</v>
      </c>
      <c r="H137" s="61" t="str">
        <f t="shared" ca="1" si="7"/>
        <v>Water_co = Water_Sum * z_Water_compute # m³ World eq</v>
      </c>
    </row>
    <row r="138" spans="2:8" x14ac:dyDescent="0.35">
      <c r="B138" t="s">
        <v>189</v>
      </c>
      <c r="C138" s="51">
        <f xml:space="preserve"> Water_Sum * z_Water_memorize</f>
        <v>53.052481214140002</v>
      </c>
      <c r="D138" t="s">
        <v>164</v>
      </c>
      <c r="H138" s="61" t="str">
        <f t="shared" ca="1" si="7"/>
        <v>Water_me = Water_Sum * z_Water_memorize # m³ World eq</v>
      </c>
    </row>
    <row r="139" spans="2:8" x14ac:dyDescent="0.35">
      <c r="B139" t="s">
        <v>190</v>
      </c>
      <c r="C139" s="51">
        <f xml:space="preserve"> Water_Sum * z_Water_store</f>
        <v>90.165061304709639</v>
      </c>
      <c r="D139" t="s">
        <v>164</v>
      </c>
      <c r="H139" s="61" t="str">
        <f t="shared" ca="1" si="7"/>
        <v>Water_st = Water_Sum * z_Water_store # m³ World eq</v>
      </c>
    </row>
    <row r="140" spans="2:8" x14ac:dyDescent="0.35">
      <c r="B140" t="s">
        <v>191</v>
      </c>
      <c r="C140" s="51">
        <f xml:space="preserve"> Water_Sum * z_Water_transfer</f>
        <v>11.064331649174942</v>
      </c>
      <c r="D140" t="s">
        <v>164</v>
      </c>
      <c r="H140" s="61" t="str">
        <f t="shared" ca="1" si="7"/>
        <v>Water_tr = Water_Sum * z_Water_transfer # m³ World eq</v>
      </c>
    </row>
    <row r="141" spans="2:8" x14ac:dyDescent="0.35">
      <c r="C141" s="51"/>
      <c r="H141" s="61" t="str">
        <f t="shared" ca="1" si="7"/>
        <v/>
      </c>
    </row>
    <row r="142" spans="2:8" x14ac:dyDescent="0.35">
      <c r="B142" t="s">
        <v>340</v>
      </c>
      <c r="C142" s="51">
        <f xml:space="preserve"> WEEE_Sum * z_WEEE_compute</f>
        <v>2.8571428571428568</v>
      </c>
      <c r="D142" t="s">
        <v>326</v>
      </c>
      <c r="H142" s="61" t="str">
        <f t="shared" ca="1" si="7"/>
        <v>WEEE_co = WEEE_Sum * z_WEEE_compute # kg WEEE</v>
      </c>
    </row>
    <row r="143" spans="2:8" x14ac:dyDescent="0.35">
      <c r="B143" t="s">
        <v>341</v>
      </c>
      <c r="C143" s="51">
        <f xml:space="preserve"> WEEE_Sum * z_WEEE_memorize</f>
        <v>1.4285714285714284</v>
      </c>
      <c r="D143" t="s">
        <v>326</v>
      </c>
      <c r="H143" s="61" t="str">
        <f t="shared" ca="1" si="7"/>
        <v>WEEE_me = WEEE_Sum * z_WEEE_memorize # kg WEEE</v>
      </c>
    </row>
    <row r="144" spans="2:8" x14ac:dyDescent="0.35">
      <c r="B144" t="s">
        <v>342</v>
      </c>
      <c r="C144" s="51">
        <f xml:space="preserve"> WEEE_Sum * z_WEEE_store</f>
        <v>14.285714285714285</v>
      </c>
      <c r="D144" t="s">
        <v>326</v>
      </c>
      <c r="H144" s="61" t="str">
        <f t="shared" ca="1" si="7"/>
        <v>WEEE_st = WEEE_Sum * z_WEEE_store # kg WEEE</v>
      </c>
    </row>
    <row r="145" spans="2:8" x14ac:dyDescent="0.35">
      <c r="B145" t="s">
        <v>343</v>
      </c>
      <c r="C145" s="51">
        <f xml:space="preserve"> WEEE_Sum * z_WEEE_transfer</f>
        <v>1.4285714285714284</v>
      </c>
      <c r="D145" t="s">
        <v>326</v>
      </c>
      <c r="H145" s="61" t="str">
        <f t="shared" ca="1" si="7"/>
        <v>WEEE_tr = WEEE_Sum * z_WEEE_transfer # kg WEEE</v>
      </c>
    </row>
    <row r="146" spans="2:8" x14ac:dyDescent="0.35">
      <c r="C146" s="51"/>
      <c r="H146" s="61" t="str">
        <f t="shared" ca="1" si="7"/>
        <v/>
      </c>
    </row>
    <row r="147" spans="2:8" x14ac:dyDescent="0.35">
      <c r="B147" t="s">
        <v>336</v>
      </c>
      <c r="C147" s="51">
        <f xml:space="preserve"> TOX_Sum * z_TOX_compute</f>
        <v>0.33333333333333331</v>
      </c>
      <c r="D147" t="s">
        <v>327</v>
      </c>
      <c r="H147" s="61" t="str">
        <f t="shared" ca="1" si="7"/>
        <v>TOX_co = TOX_Sum * z_TOX_compute # kg MEG eq</v>
      </c>
    </row>
    <row r="148" spans="2:8" x14ac:dyDescent="0.35">
      <c r="B148" t="s">
        <v>337</v>
      </c>
      <c r="C148" s="51">
        <f xml:space="preserve"> TOX_Sum * z_TOX_memorize</f>
        <v>0.16666666666666666</v>
      </c>
      <c r="D148" t="s">
        <v>327</v>
      </c>
      <c r="H148" s="61" t="str">
        <f t="shared" ca="1" si="7"/>
        <v>TOX_me = TOX_Sum * z_TOX_memorize # kg MEG eq</v>
      </c>
    </row>
    <row r="149" spans="2:8" x14ac:dyDescent="0.35">
      <c r="B149" t="s">
        <v>338</v>
      </c>
      <c r="C149" s="51">
        <f xml:space="preserve"> TOX_Sum * z_TOX_store</f>
        <v>0.33333333333333331</v>
      </c>
      <c r="D149" t="s">
        <v>327</v>
      </c>
      <c r="H149" s="61" t="str">
        <f t="shared" ca="1" si="7"/>
        <v>TOX_st = TOX_Sum * z_TOX_store # kg MEG eq</v>
      </c>
    </row>
    <row r="150" spans="2:8" x14ac:dyDescent="0.35">
      <c r="B150" t="s">
        <v>339</v>
      </c>
      <c r="C150" s="51">
        <f xml:space="preserve"> TOX_Sum * z_TOX_transfer</f>
        <v>0.16666666666666666</v>
      </c>
      <c r="D150" t="s">
        <v>327</v>
      </c>
      <c r="H150" s="61" t="str">
        <f t="shared" ca="1" si="7"/>
        <v>TOX_tr = TOX_Sum * z_TOX_transfer # kg MEG eq</v>
      </c>
    </row>
    <row r="151" spans="2:8" x14ac:dyDescent="0.35">
      <c r="C151" s="51"/>
    </row>
    <row r="153" spans="2:8" ht="15.5" x14ac:dyDescent="0.35">
      <c r="B153" s="10" t="s">
        <v>193</v>
      </c>
    </row>
    <row r="155" spans="2:8" x14ac:dyDescent="0.35">
      <c r="B155" s="1" t="s">
        <v>0</v>
      </c>
      <c r="C155" s="1" t="s">
        <v>24</v>
      </c>
      <c r="D155" s="131" t="s">
        <v>26</v>
      </c>
      <c r="E155" s="131" t="s">
        <v>27</v>
      </c>
      <c r="F155" s="1" t="s">
        <v>28</v>
      </c>
      <c r="G155" s="133" t="s">
        <v>30</v>
      </c>
    </row>
    <row r="156" spans="2:8" ht="24.75" customHeight="1" thickBot="1" x14ac:dyDescent="0.4">
      <c r="B156" s="2" t="s">
        <v>23</v>
      </c>
      <c r="C156" s="2" t="s">
        <v>25</v>
      </c>
      <c r="D156" s="132"/>
      <c r="E156" s="132"/>
      <c r="F156" s="2" t="s">
        <v>29</v>
      </c>
      <c r="G156" s="134"/>
    </row>
    <row r="157" spans="2:8" ht="15.5" thickTop="1" thickBot="1" x14ac:dyDescent="0.4">
      <c r="B157" s="5" t="s">
        <v>31</v>
      </c>
      <c r="C157" s="63">
        <f xml:space="preserve"> CED_CPU + CED_GPU</f>
        <v>600.55255490000002</v>
      </c>
      <c r="D157" s="66">
        <f>C157/SUM(C157:C160)</f>
        <v>0.19267007376520687</v>
      </c>
      <c r="E157" s="63">
        <f>D157*$C$161</f>
        <v>575.84014076506014</v>
      </c>
      <c r="F157" s="63">
        <f>C157+E157</f>
        <v>1176.3926956650603</v>
      </c>
      <c r="G157" s="8" t="s">
        <v>11</v>
      </c>
    </row>
    <row r="158" spans="2:8" ht="15" thickBot="1" x14ac:dyDescent="0.4">
      <c r="B158" s="5" t="s">
        <v>13</v>
      </c>
      <c r="C158" s="63">
        <f xml:space="preserve"> CED_RAM</f>
        <v>1031.089035</v>
      </c>
      <c r="D158" s="65">
        <f>C158/SUM(C157:C160)</f>
        <v>0.33079536305532076</v>
      </c>
      <c r="E158" s="63">
        <f>D158*$C$161</f>
        <v>988.66027662570843</v>
      </c>
      <c r="F158" s="63">
        <f t="shared" ref="F158:F160" si="8">C158+E158</f>
        <v>2019.7493116257083</v>
      </c>
      <c r="G158" s="8" t="s">
        <v>14</v>
      </c>
    </row>
    <row r="159" spans="2:8" ht="15" thickBot="1" x14ac:dyDescent="0.4">
      <c r="B159" s="5" t="s">
        <v>32</v>
      </c>
      <c r="C159" s="63">
        <f xml:space="preserve"> CED_SSD + CED_HDD</f>
        <v>1334.818571</v>
      </c>
      <c r="D159" s="65">
        <f>C159/SUM(C157:C160)</f>
        <v>0.42823827896388161</v>
      </c>
      <c r="E159" s="63">
        <f>D159*$C$161</f>
        <v>1279.8915058290704</v>
      </c>
      <c r="F159" s="63">
        <f t="shared" si="8"/>
        <v>2614.7100768290702</v>
      </c>
      <c r="G159" s="8" t="s">
        <v>17</v>
      </c>
    </row>
    <row r="160" spans="2:8" ht="15" thickBot="1" x14ac:dyDescent="0.4">
      <c r="B160" s="5" t="s">
        <v>33</v>
      </c>
      <c r="C160" s="63">
        <f xml:space="preserve"> CED_Ports</f>
        <v>150.53950159999999</v>
      </c>
      <c r="D160" s="65">
        <f>C160/SUM(C157:C160)</f>
        <v>4.8296284215590603E-2</v>
      </c>
      <c r="E160" s="63">
        <f>D160*$C$161</f>
        <v>144.34488220016064</v>
      </c>
      <c r="F160" s="63">
        <f t="shared" si="8"/>
        <v>294.88438380016066</v>
      </c>
      <c r="G160" s="8" t="s">
        <v>20</v>
      </c>
    </row>
    <row r="161" spans="2:7" ht="15" thickBot="1" x14ac:dyDescent="0.4">
      <c r="B161" s="12" t="s">
        <v>34</v>
      </c>
      <c r="C161" s="64">
        <f xml:space="preserve"> CED_PCB + CED_Chassis + CED_PSUetc + CED_AssTest</f>
        <v>2988.7368054200001</v>
      </c>
      <c r="D161" s="13" t="s">
        <v>35</v>
      </c>
      <c r="E161" s="13" t="s">
        <v>35</v>
      </c>
      <c r="F161" s="13" t="s">
        <v>35</v>
      </c>
      <c r="G161" s="14" t="s">
        <v>35</v>
      </c>
    </row>
    <row r="162" spans="2:7" ht="15.5" thickTop="1" thickBot="1" x14ac:dyDescent="0.4">
      <c r="B162" s="5" t="s">
        <v>36</v>
      </c>
      <c r="C162" s="67" t="str">
        <f xml:space="preserve"> "S =  "&amp;ROUND(SUM(C157:C161),0)</f>
        <v>S =  6106</v>
      </c>
      <c r="D162" s="68" t="str">
        <f>"S = "&amp;ROUND(SUM(D157:D161),0)</f>
        <v>S = 1</v>
      </c>
      <c r="E162" s="67" t="str">
        <f t="shared" ref="E162:F162" si="9">"S = "&amp;ROUND(SUM(E157:E161),0)</f>
        <v>S = 2989</v>
      </c>
      <c r="F162" s="67" t="str">
        <f t="shared" si="9"/>
        <v>S = 6106</v>
      </c>
      <c r="G162" s="8"/>
    </row>
    <row r="166" spans="2:7" ht="56.25" customHeight="1" x14ac:dyDescent="0.35"/>
    <row r="167" spans="2:7" ht="27.75" customHeight="1" x14ac:dyDescent="0.35"/>
  </sheetData>
  <mergeCells count="3">
    <mergeCell ref="D155:D156"/>
    <mergeCell ref="E155:E156"/>
    <mergeCell ref="G155:G156"/>
  </mergeCells>
  <pageMargins left="0.7" right="0.7" top="0.78740157499999996" bottom="0.78740157499999996"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EBFC19-A03A-4CAA-8BDC-D84AC60A46D5}">
  <dimension ref="A2:I75"/>
  <sheetViews>
    <sheetView zoomScaleNormal="100" workbookViewId="0"/>
  </sheetViews>
  <sheetFormatPr baseColWidth="10" defaultRowHeight="14.5" x14ac:dyDescent="0.35"/>
  <cols>
    <col min="1" max="1" width="5.453125" customWidth="1"/>
    <col min="2" max="2" width="27.81640625" customWidth="1"/>
    <col min="3" max="3" width="15.453125" customWidth="1"/>
    <col min="5" max="5" width="17.26953125" customWidth="1"/>
    <col min="8" max="8" width="58.453125" customWidth="1"/>
    <col min="9" max="9" width="13.453125" customWidth="1"/>
    <col min="11" max="11" width="22" customWidth="1"/>
  </cols>
  <sheetData>
    <row r="2" spans="1:8" ht="21" x14ac:dyDescent="0.5">
      <c r="B2" s="69" t="s">
        <v>214</v>
      </c>
    </row>
    <row r="3" spans="1:8" ht="15" customHeight="1" x14ac:dyDescent="0.35"/>
    <row r="4" spans="1:8" ht="15" customHeight="1" x14ac:dyDescent="0.35">
      <c r="B4" s="76" t="s">
        <v>236</v>
      </c>
      <c r="C4" s="73" t="s">
        <v>195</v>
      </c>
      <c r="H4" s="70" t="str">
        <f>B4</f>
        <v># Netto-Leistungsaufnahme</v>
      </c>
    </row>
    <row r="5" spans="1:8" s="74" customFormat="1" ht="15" customHeight="1" x14ac:dyDescent="0.35">
      <c r="A5" s="75"/>
      <c r="C5" s="75"/>
      <c r="D5" s="75"/>
      <c r="E5" s="75"/>
      <c r="F5" s="75"/>
      <c r="G5" s="75"/>
    </row>
    <row r="6" spans="1:8" s="74" customFormat="1" ht="15" customHeight="1" x14ac:dyDescent="0.35">
      <c r="A6" s="75"/>
      <c r="B6" s="75" t="s">
        <v>215</v>
      </c>
      <c r="C6" s="88">
        <v>50</v>
      </c>
      <c r="D6" s="75" t="s">
        <v>552</v>
      </c>
      <c r="E6" s="75"/>
      <c r="F6" s="75"/>
      <c r="G6" s="75"/>
      <c r="H6" s="61" t="str">
        <f>IF(B6&lt;&gt;"",B6&amp;" = "&amp;SUBSTITUTE(C6,",",".")&amp;" # "&amp;D6,"")</f>
        <v>P_idle_CPU = 50 # W (input)</v>
      </c>
    </row>
    <row r="7" spans="1:8" s="74" customFormat="1" ht="15" customHeight="1" x14ac:dyDescent="0.35">
      <c r="A7" s="75"/>
      <c r="B7" s="75" t="s">
        <v>216</v>
      </c>
      <c r="C7" s="88">
        <v>150</v>
      </c>
      <c r="D7" s="75" t="s">
        <v>552</v>
      </c>
      <c r="E7" s="75"/>
      <c r="F7" s="75"/>
      <c r="G7" s="75"/>
      <c r="H7" s="61" t="str">
        <f t="shared" ref="H7:H32" si="0">IF(B7&lt;&gt;"",B7&amp;" = "&amp;SUBSTITUTE(C7,",",".")&amp;" # "&amp;D7,"")</f>
        <v>P_max_CPU = 150 # W (input)</v>
      </c>
    </row>
    <row r="8" spans="1:8" s="74" customFormat="1" ht="15" customHeight="1" x14ac:dyDescent="0.35">
      <c r="A8" s="75"/>
      <c r="B8" s="75" t="s">
        <v>217</v>
      </c>
      <c r="C8" s="88">
        <v>70</v>
      </c>
      <c r="D8" s="75" t="s">
        <v>552</v>
      </c>
      <c r="E8" s="75"/>
      <c r="F8" s="75"/>
      <c r="G8" s="75"/>
      <c r="H8" s="61" t="str">
        <f t="shared" si="0"/>
        <v>P_average_CPU = 70 # W (input)</v>
      </c>
    </row>
    <row r="9" spans="1:8" s="74" customFormat="1" ht="15" customHeight="1" x14ac:dyDescent="0.35">
      <c r="A9" s="75"/>
      <c r="B9" s="75"/>
      <c r="C9" s="75"/>
      <c r="D9" s="75"/>
      <c r="E9" s="75"/>
      <c r="F9" s="75"/>
      <c r="G9" s="75"/>
      <c r="H9" s="61" t="str">
        <f t="shared" si="0"/>
        <v/>
      </c>
    </row>
    <row r="10" spans="1:8" s="74" customFormat="1" ht="15" customHeight="1" x14ac:dyDescent="0.35">
      <c r="A10" s="75"/>
      <c r="B10" s="75" t="s">
        <v>218</v>
      </c>
      <c r="C10" s="88">
        <v>20</v>
      </c>
      <c r="D10" s="75" t="s">
        <v>552</v>
      </c>
      <c r="E10" s="75"/>
      <c r="F10" s="75"/>
      <c r="G10" s="75"/>
      <c r="H10" s="61" t="str">
        <f t="shared" si="0"/>
        <v>P_idle_GPU = 20 # W (input)</v>
      </c>
    </row>
    <row r="11" spans="1:8" s="74" customFormat="1" ht="15" customHeight="1" x14ac:dyDescent="0.35">
      <c r="A11" s="75"/>
      <c r="B11" s="75" t="s">
        <v>219</v>
      </c>
      <c r="C11" s="88">
        <v>100</v>
      </c>
      <c r="D11" s="75" t="s">
        <v>552</v>
      </c>
      <c r="E11" s="75"/>
      <c r="F11" s="75"/>
      <c r="G11" s="75"/>
      <c r="H11" s="61" t="str">
        <f t="shared" si="0"/>
        <v>P_max_GPU = 100 # W (input)</v>
      </c>
    </row>
    <row r="12" spans="1:8" s="74" customFormat="1" ht="15" customHeight="1" x14ac:dyDescent="0.35">
      <c r="A12" s="75"/>
      <c r="B12" s="75" t="s">
        <v>220</v>
      </c>
      <c r="C12" s="88">
        <v>24</v>
      </c>
      <c r="D12" s="75" t="s">
        <v>552</v>
      </c>
      <c r="E12" s="75"/>
      <c r="F12" s="75"/>
      <c r="G12" s="75"/>
      <c r="H12" s="61" t="str">
        <f t="shared" si="0"/>
        <v>P_average_GPU = 24 # W (input)</v>
      </c>
    </row>
    <row r="13" spans="1:8" s="74" customFormat="1" ht="15" customHeight="1" x14ac:dyDescent="0.35">
      <c r="A13" s="75"/>
      <c r="B13" s="75"/>
      <c r="C13" s="75"/>
      <c r="D13" s="75"/>
      <c r="E13" s="75"/>
      <c r="F13" s="75"/>
      <c r="G13" s="75"/>
      <c r="H13" s="61" t="str">
        <f t="shared" si="0"/>
        <v/>
      </c>
    </row>
    <row r="14" spans="1:8" s="74" customFormat="1" ht="15" customHeight="1" x14ac:dyDescent="0.35">
      <c r="A14" s="75"/>
      <c r="B14" s="75" t="s">
        <v>221</v>
      </c>
      <c r="C14" s="88">
        <v>20</v>
      </c>
      <c r="D14" s="75" t="s">
        <v>552</v>
      </c>
      <c r="E14" s="75"/>
      <c r="F14" s="75"/>
      <c r="G14" s="75"/>
      <c r="H14" s="61" t="str">
        <f t="shared" si="0"/>
        <v>P_idle_RAM = 20 # W (input)</v>
      </c>
    </row>
    <row r="15" spans="1:8" s="74" customFormat="1" ht="15" customHeight="1" x14ac:dyDescent="0.35">
      <c r="A15" s="75"/>
      <c r="B15" s="75" t="s">
        <v>222</v>
      </c>
      <c r="C15" s="88">
        <v>20</v>
      </c>
      <c r="D15" s="75" t="s">
        <v>552</v>
      </c>
      <c r="E15" s="75"/>
      <c r="F15" s="75"/>
      <c r="G15" s="75"/>
      <c r="H15" s="61" t="str">
        <f t="shared" si="0"/>
        <v>P_max_RAM = 20 # W (input)</v>
      </c>
    </row>
    <row r="16" spans="1:8" s="74" customFormat="1" ht="15" customHeight="1" x14ac:dyDescent="0.35">
      <c r="A16" s="75"/>
      <c r="B16" s="75" t="s">
        <v>223</v>
      </c>
      <c r="C16" s="88">
        <v>20</v>
      </c>
      <c r="D16" s="75" t="s">
        <v>552</v>
      </c>
      <c r="E16" s="75"/>
      <c r="F16" s="75"/>
      <c r="G16" s="75"/>
      <c r="H16" s="61" t="str">
        <f t="shared" si="0"/>
        <v>P_average_RAM = 20 # W (input)</v>
      </c>
    </row>
    <row r="17" spans="1:8" s="74" customFormat="1" ht="15" customHeight="1" x14ac:dyDescent="0.35">
      <c r="A17" s="75"/>
      <c r="B17" s="75"/>
      <c r="C17" s="75"/>
      <c r="D17" s="75"/>
      <c r="E17" s="75"/>
      <c r="F17" s="75"/>
      <c r="G17" s="75"/>
      <c r="H17" s="61" t="str">
        <f t="shared" si="0"/>
        <v/>
      </c>
    </row>
    <row r="18" spans="1:8" s="74" customFormat="1" ht="15" customHeight="1" x14ac:dyDescent="0.35">
      <c r="A18" s="75"/>
      <c r="B18" s="75" t="s">
        <v>230</v>
      </c>
      <c r="C18" s="88">
        <v>10</v>
      </c>
      <c r="D18" s="75" t="s">
        <v>552</v>
      </c>
      <c r="E18" s="75"/>
      <c r="F18" s="75"/>
      <c r="G18" s="75"/>
      <c r="H18" s="61" t="str">
        <f t="shared" si="0"/>
        <v>P_idle_SSD = 10 # W (input)</v>
      </c>
    </row>
    <row r="19" spans="1:8" s="74" customFormat="1" ht="15" customHeight="1" x14ac:dyDescent="0.35">
      <c r="A19" s="75"/>
      <c r="B19" s="75" t="s">
        <v>231</v>
      </c>
      <c r="C19" s="88">
        <v>10</v>
      </c>
      <c r="D19" s="75" t="s">
        <v>552</v>
      </c>
      <c r="E19" s="75"/>
      <c r="F19" s="75"/>
      <c r="G19" s="75"/>
      <c r="H19" s="61" t="str">
        <f t="shared" si="0"/>
        <v>P_max_SSD = 10 # W (input)</v>
      </c>
    </row>
    <row r="20" spans="1:8" s="74" customFormat="1" ht="15" customHeight="1" x14ac:dyDescent="0.35">
      <c r="A20" s="75"/>
      <c r="B20" s="75" t="s">
        <v>232</v>
      </c>
      <c r="C20" s="88">
        <v>10</v>
      </c>
      <c r="D20" s="75" t="s">
        <v>552</v>
      </c>
      <c r="E20" s="75"/>
      <c r="F20" s="75"/>
      <c r="G20" s="75"/>
      <c r="H20" s="61" t="str">
        <f t="shared" si="0"/>
        <v>P_average_SSD = 10 # W (input)</v>
      </c>
    </row>
    <row r="21" spans="1:8" s="74" customFormat="1" ht="15" customHeight="1" x14ac:dyDescent="0.35">
      <c r="A21" s="75"/>
      <c r="B21" s="75"/>
      <c r="C21" s="75"/>
      <c r="D21" s="75"/>
      <c r="E21" s="75"/>
      <c r="F21" s="75"/>
      <c r="G21" s="75"/>
      <c r="H21" s="61" t="str">
        <f t="shared" si="0"/>
        <v/>
      </c>
    </row>
    <row r="22" spans="1:8" s="74" customFormat="1" ht="15" customHeight="1" x14ac:dyDescent="0.35">
      <c r="A22" s="75"/>
      <c r="B22" s="75" t="s">
        <v>233</v>
      </c>
      <c r="C22" s="88">
        <v>20</v>
      </c>
      <c r="D22" s="75" t="s">
        <v>552</v>
      </c>
      <c r="E22" s="75"/>
      <c r="F22" s="75"/>
      <c r="G22" s="75"/>
      <c r="H22" s="61" t="str">
        <f t="shared" si="0"/>
        <v>P_idle_HDD = 20 # W (input)</v>
      </c>
    </row>
    <row r="23" spans="1:8" s="74" customFormat="1" ht="15" customHeight="1" x14ac:dyDescent="0.35">
      <c r="A23" s="75"/>
      <c r="B23" s="75" t="s">
        <v>234</v>
      </c>
      <c r="C23" s="88">
        <v>20</v>
      </c>
      <c r="D23" s="75" t="s">
        <v>552</v>
      </c>
      <c r="E23" s="75"/>
      <c r="F23" s="75"/>
      <c r="G23" s="75"/>
      <c r="H23" s="61" t="str">
        <f t="shared" si="0"/>
        <v>P_max_HDD = 20 # W (input)</v>
      </c>
    </row>
    <row r="24" spans="1:8" s="74" customFormat="1" ht="15" customHeight="1" x14ac:dyDescent="0.35">
      <c r="A24" s="75"/>
      <c r="B24" s="75" t="s">
        <v>235</v>
      </c>
      <c r="C24" s="88">
        <v>20</v>
      </c>
      <c r="D24" s="75" t="s">
        <v>552</v>
      </c>
      <c r="E24" s="75"/>
      <c r="F24" s="75"/>
      <c r="G24" s="75"/>
      <c r="H24" s="61" t="str">
        <f t="shared" si="0"/>
        <v>P_average_HDD = 20 # W (input)</v>
      </c>
    </row>
    <row r="25" spans="1:8" s="74" customFormat="1" ht="15" customHeight="1" x14ac:dyDescent="0.35">
      <c r="A25" s="75"/>
      <c r="B25" s="75"/>
      <c r="C25" s="75"/>
      <c r="D25" s="75"/>
      <c r="E25" s="75"/>
      <c r="F25" s="75"/>
      <c r="G25" s="75"/>
      <c r="H25" s="61" t="str">
        <f t="shared" si="0"/>
        <v/>
      </c>
    </row>
    <row r="26" spans="1:8" s="74" customFormat="1" ht="15" customHeight="1" x14ac:dyDescent="0.35">
      <c r="A26" s="75"/>
      <c r="B26" s="75" t="s">
        <v>224</v>
      </c>
      <c r="C26" s="88">
        <v>5</v>
      </c>
      <c r="D26" s="75" t="s">
        <v>552</v>
      </c>
      <c r="E26" s="75"/>
      <c r="F26" s="75"/>
      <c r="G26" s="75"/>
      <c r="H26" s="61" t="str">
        <f t="shared" si="0"/>
        <v>P_idle_NW = 5 # W (input)</v>
      </c>
    </row>
    <row r="27" spans="1:8" s="74" customFormat="1" ht="15" customHeight="1" x14ac:dyDescent="0.35">
      <c r="A27" s="75"/>
      <c r="B27" s="75" t="s">
        <v>225</v>
      </c>
      <c r="C27" s="88">
        <v>5</v>
      </c>
      <c r="D27" s="75" t="s">
        <v>552</v>
      </c>
      <c r="E27" s="75"/>
      <c r="F27" s="75"/>
      <c r="G27" s="75"/>
      <c r="H27" s="61" t="str">
        <f t="shared" si="0"/>
        <v>P_max_NW = 5 # W (input)</v>
      </c>
    </row>
    <row r="28" spans="1:8" s="74" customFormat="1" ht="15" customHeight="1" x14ac:dyDescent="0.35">
      <c r="A28" s="75"/>
      <c r="B28" s="75" t="s">
        <v>226</v>
      </c>
      <c r="C28" s="88">
        <v>5</v>
      </c>
      <c r="D28" s="75" t="s">
        <v>552</v>
      </c>
      <c r="E28" s="75"/>
      <c r="F28" s="75"/>
      <c r="G28" s="75"/>
      <c r="H28" s="61" t="str">
        <f t="shared" si="0"/>
        <v>P_average_NW = 5 # W (input)</v>
      </c>
    </row>
    <row r="29" spans="1:8" s="74" customFormat="1" ht="15" customHeight="1" x14ac:dyDescent="0.35">
      <c r="A29" s="75"/>
      <c r="B29" s="75"/>
      <c r="C29" s="75"/>
      <c r="D29" s="75"/>
      <c r="E29" s="75"/>
      <c r="F29" s="75"/>
      <c r="G29" s="75"/>
      <c r="H29" s="61" t="str">
        <f t="shared" si="0"/>
        <v/>
      </c>
    </row>
    <row r="30" spans="1:8" s="74" customFormat="1" ht="15" customHeight="1" x14ac:dyDescent="0.35">
      <c r="A30" s="75"/>
      <c r="B30" s="75" t="s">
        <v>227</v>
      </c>
      <c r="C30" s="88">
        <v>150</v>
      </c>
      <c r="D30" s="75" t="s">
        <v>552</v>
      </c>
      <c r="E30" s="75"/>
      <c r="F30" s="75"/>
      <c r="G30" s="75"/>
      <c r="H30" s="61" t="str">
        <f t="shared" si="0"/>
        <v>P_idle_total = 150 # W (input)</v>
      </c>
    </row>
    <row r="31" spans="1:8" s="74" customFormat="1" ht="15" customHeight="1" x14ac:dyDescent="0.35">
      <c r="A31" s="75"/>
      <c r="B31" s="75" t="s">
        <v>229</v>
      </c>
      <c r="C31" s="88">
        <v>330</v>
      </c>
      <c r="D31" s="75" t="s">
        <v>552</v>
      </c>
      <c r="E31" s="75"/>
      <c r="F31" s="75"/>
      <c r="G31" s="75"/>
      <c r="H31" s="61" t="str">
        <f t="shared" si="0"/>
        <v>P_max_total = 330 # W (input)</v>
      </c>
    </row>
    <row r="32" spans="1:8" s="74" customFormat="1" ht="15" customHeight="1" x14ac:dyDescent="0.35">
      <c r="A32" s="75"/>
      <c r="B32" s="75" t="s">
        <v>228</v>
      </c>
      <c r="C32" s="88">
        <v>174</v>
      </c>
      <c r="D32" s="75" t="s">
        <v>552</v>
      </c>
      <c r="E32" s="75"/>
      <c r="F32" s="75"/>
      <c r="G32" s="75"/>
      <c r="H32" s="61" t="str">
        <f t="shared" si="0"/>
        <v>P_average_total = 174 # W (input)</v>
      </c>
    </row>
    <row r="33" spans="1:8" s="74" customFormat="1" ht="15" customHeight="1" x14ac:dyDescent="0.35">
      <c r="A33" s="75"/>
      <c r="B33" s="75"/>
      <c r="C33" s="75"/>
      <c r="D33" s="75"/>
      <c r="E33"/>
      <c r="F33" s="75"/>
      <c r="G33" s="75"/>
    </row>
    <row r="34" spans="1:8" s="74" customFormat="1" ht="15" customHeight="1" x14ac:dyDescent="0.45">
      <c r="A34" s="75"/>
      <c r="B34" s="60" t="s">
        <v>192</v>
      </c>
      <c r="C34" s="75"/>
      <c r="D34" s="75"/>
      <c r="E34" s="75"/>
      <c r="F34" s="75"/>
      <c r="G34" s="75"/>
      <c r="H34" s="70" t="str">
        <f>B34</f>
        <v># Zuordnungsfaktor für Overhead zhw</v>
      </c>
    </row>
    <row r="35" spans="1:8" s="74" customFormat="1" ht="46.5" customHeight="1" x14ac:dyDescent="0.35">
      <c r="A35" s="75"/>
      <c r="B35" s="75"/>
      <c r="C35" s="75"/>
      <c r="D35" s="75"/>
      <c r="E35" s="75"/>
      <c r="F35" s="75"/>
      <c r="G35" s="75"/>
    </row>
    <row r="36" spans="1:8" x14ac:dyDescent="0.35">
      <c r="B36" s="75" t="s">
        <v>238</v>
      </c>
      <c r="C36" s="89">
        <f xml:space="preserve"> P_average_CPU / (P_average_CPU + P_average_GPU + P_average_RAM + P_average_SSD + P_average_HDD + P_average_NW)</f>
        <v>0.46979865771812079</v>
      </c>
      <c r="H36" s="61" t="str">
        <f t="shared" ref="H36:H41" ca="1" si="1">IF(AND(B36&lt;&gt;"",C36&lt;&gt;""),B36&amp;" "&amp;_xlfn.FORMULATEXT(C36)&amp;" # "&amp;D36,"")</f>
        <v xml:space="preserve">z_CPU = P_average_CPU / (P_average_CPU + P_average_GPU + P_average_RAM + P_average_SSD + P_average_HDD + P_average_NW) # </v>
      </c>
    </row>
    <row r="37" spans="1:8" x14ac:dyDescent="0.35">
      <c r="B37" s="75" t="s">
        <v>239</v>
      </c>
      <c r="C37" s="89">
        <f xml:space="preserve"> P_average_GPU / (P_average_CPU + P_average_GPU + P_average_RAM + P_average_SSD + P_average_HDD + P_average_NW)</f>
        <v>0.16107382550335569</v>
      </c>
      <c r="H37" s="61" t="str">
        <f t="shared" ca="1" si="1"/>
        <v xml:space="preserve">z_GPU = P_average_GPU / (P_average_CPU + P_average_GPU + P_average_RAM + P_average_SSD + P_average_HDD + P_average_NW) # </v>
      </c>
    </row>
    <row r="38" spans="1:8" x14ac:dyDescent="0.35">
      <c r="B38" s="75" t="s">
        <v>240</v>
      </c>
      <c r="C38" s="89">
        <f xml:space="preserve"> P_average_RAM / (P_average_CPU + P_average_GPU + P_average_RAM + P_average_SSD + P_average_HDD + P_average_NW)</f>
        <v>0.13422818791946309</v>
      </c>
      <c r="H38" s="61" t="str">
        <f t="shared" ca="1" si="1"/>
        <v xml:space="preserve">z_RAM = P_average_RAM / (P_average_CPU + P_average_GPU + P_average_RAM + P_average_SSD + P_average_HDD + P_average_NW) # </v>
      </c>
    </row>
    <row r="39" spans="1:8" x14ac:dyDescent="0.35">
      <c r="B39" s="75" t="s">
        <v>241</v>
      </c>
      <c r="C39" s="89">
        <f xml:space="preserve"> P_average_SSD / (P_average_CPU + P_average_GPU + P_average_RAM + P_average_SSD + P_average_HDD + P_average_NW)</f>
        <v>6.7114093959731544E-2</v>
      </c>
      <c r="H39" s="61" t="str">
        <f t="shared" ca="1" si="1"/>
        <v xml:space="preserve">z_SSD = P_average_SSD / (P_average_CPU + P_average_GPU + P_average_RAM + P_average_SSD + P_average_HDD + P_average_NW) # </v>
      </c>
    </row>
    <row r="40" spans="1:8" ht="22.15" customHeight="1" x14ac:dyDescent="0.35">
      <c r="B40" s="75" t="s">
        <v>242</v>
      </c>
      <c r="C40" s="89">
        <f xml:space="preserve"> P_average_HDD / (P_average_CPU + P_average_GPU + P_average_RAM + P_average_SSD + P_average_HDD + P_average_NW)</f>
        <v>0.13422818791946309</v>
      </c>
      <c r="H40" s="61" t="str">
        <f t="shared" ca="1" si="1"/>
        <v xml:space="preserve">z_HDD = P_average_HDD / (P_average_CPU + P_average_GPU + P_average_RAM + P_average_SSD + P_average_HDD + P_average_NW) # </v>
      </c>
    </row>
    <row r="41" spans="1:8" x14ac:dyDescent="0.35">
      <c r="B41" s="75" t="s">
        <v>243</v>
      </c>
      <c r="C41" s="89">
        <f xml:space="preserve"> P_average_NW / (P_average_CPU + P_average_GPU + P_average_RAM + P_average_SSD + P_average_HDD + P_average_NW)</f>
        <v>3.3557046979865772E-2</v>
      </c>
      <c r="H41" s="61" t="str">
        <f t="shared" ca="1" si="1"/>
        <v xml:space="preserve">z_NW = P_average_NW / (P_average_CPU + P_average_GPU + P_average_RAM + P_average_SSD + P_average_HDD + P_average_NW) # </v>
      </c>
    </row>
    <row r="43" spans="1:8" x14ac:dyDescent="0.35">
      <c r="B43" s="76" t="s">
        <v>245</v>
      </c>
      <c r="H43" s="70" t="str">
        <f>B43</f>
        <v># Brutto-Leistungsaufnahme</v>
      </c>
    </row>
    <row r="44" spans="1:8" ht="41.25" customHeight="1" x14ac:dyDescent="0.35"/>
    <row r="45" spans="1:8" x14ac:dyDescent="0.35">
      <c r="B45" s="75" t="s">
        <v>246</v>
      </c>
      <c r="C45" s="90">
        <f xml:space="preserve"> P_average_total * z_CPU</f>
        <v>81.744966442953015</v>
      </c>
      <c r="D45" t="s">
        <v>237</v>
      </c>
      <c r="E45" s="90">
        <f>P_average_CPU+(P_average_total-P_average_CPU-P_average_GPU-P_average_RAM-P_average_SSD-P_average_HDD-P_average_NW)*z_CPU</f>
        <v>81.744966442953015</v>
      </c>
      <c r="H45" s="61" t="str">
        <f t="shared" ref="H45:H50" ca="1" si="2">IF(AND(B45&lt;&gt;"",C45&lt;&gt;""),B45&amp;" "&amp;_xlfn.FORMULATEXT(C45)&amp;" # "&amp;D45,"")</f>
        <v>P_brutto_average_CPU = P_average_total * z_CPU # W</v>
      </c>
    </row>
    <row r="46" spans="1:8" x14ac:dyDescent="0.35">
      <c r="B46" s="75" t="s">
        <v>247</v>
      </c>
      <c r="C46" s="90">
        <f xml:space="preserve"> P_average_total * z_GPU</f>
        <v>28.026845637583889</v>
      </c>
      <c r="D46" t="s">
        <v>237</v>
      </c>
      <c r="E46" s="90">
        <f>P_average_GPU+(P_average_total-P_average_CPU-P_average_GPU-P_average_RAM-P_average_SSD-P_average_HDD-P_average_NW)*z_GPU</f>
        <v>28.026845637583893</v>
      </c>
      <c r="H46" s="61" t="str">
        <f t="shared" ca="1" si="2"/>
        <v>P_brutto_average_GPU = P_average_total * z_GPU # W</v>
      </c>
    </row>
    <row r="47" spans="1:8" x14ac:dyDescent="0.35">
      <c r="B47" s="75" t="s">
        <v>248</v>
      </c>
      <c r="C47" s="90">
        <f xml:space="preserve"> P_average_total * z_RAM</f>
        <v>23.355704697986578</v>
      </c>
      <c r="D47" t="s">
        <v>237</v>
      </c>
      <c r="E47" s="90">
        <f>P_average_RAM+(P_average_total-P_average_CPU-P_average_GPU-P_average_RAM-P_average_SSD-P_average_HDD-P_average_NW)*z_RAM</f>
        <v>23.355704697986578</v>
      </c>
      <c r="H47" s="61" t="str">
        <f t="shared" ca="1" si="2"/>
        <v>P_brutto_average_RAM = P_average_total * z_RAM # W</v>
      </c>
    </row>
    <row r="48" spans="1:8" x14ac:dyDescent="0.35">
      <c r="B48" s="75" t="s">
        <v>249</v>
      </c>
      <c r="C48" s="90">
        <f xml:space="preserve"> P_average_total * z_SSD</f>
        <v>11.677852348993289</v>
      </c>
      <c r="D48" t="s">
        <v>237</v>
      </c>
      <c r="E48" s="90">
        <f>P_average_SSD+(P_average_total-P_average_CPU-P_average_GPU-P_average_RAM-P_average_SSD-P_average_HDD-P_average_NW)*z_SSD</f>
        <v>11.677852348993289</v>
      </c>
      <c r="H48" s="61" t="str">
        <f t="shared" ca="1" si="2"/>
        <v>P_brutto_average_SSD = P_average_total * z_SSD # W</v>
      </c>
    </row>
    <row r="49" spans="2:9" x14ac:dyDescent="0.35">
      <c r="B49" s="75" t="s">
        <v>250</v>
      </c>
      <c r="C49" s="90">
        <f xml:space="preserve"> P_average_total * z_HDD</f>
        <v>23.355704697986578</v>
      </c>
      <c r="D49" t="s">
        <v>237</v>
      </c>
      <c r="E49" s="90">
        <f>P_average_HDD+(P_average_total-P_average_CPU-P_average_GPU-P_average_RAM-P_average_SSD-P_average_HDD-P_average_NW)*z_HDD</f>
        <v>23.355704697986578</v>
      </c>
      <c r="H49" s="61" t="str">
        <f t="shared" ca="1" si="2"/>
        <v>P_brutto_average_HDD = P_average_total * z_HDD # W</v>
      </c>
    </row>
    <row r="50" spans="2:9" x14ac:dyDescent="0.35">
      <c r="B50" s="75" t="s">
        <v>251</v>
      </c>
      <c r="C50" s="90">
        <f xml:space="preserve"> P_average_total * z_NW</f>
        <v>5.8389261744966445</v>
      </c>
      <c r="D50" t="s">
        <v>237</v>
      </c>
      <c r="E50" s="90">
        <f>P_average_NW+(P_average_total-P_average_CPU-P_average_GPU-P_average_RAM-P_average_SSD-P_average_HDD-P_average_NW)*z_NW</f>
        <v>5.8389261744966445</v>
      </c>
      <c r="H50" s="61" t="str">
        <f t="shared" ca="1" si="2"/>
        <v>P_brutto_average_NW = P_average_total * z_NW # W</v>
      </c>
    </row>
    <row r="51" spans="2:9" x14ac:dyDescent="0.35">
      <c r="B51" s="75"/>
      <c r="C51" s="90"/>
      <c r="H51" s="61"/>
    </row>
    <row r="52" spans="2:9" x14ac:dyDescent="0.35">
      <c r="B52" s="75" t="s">
        <v>256</v>
      </c>
      <c r="H52" s="70" t="str">
        <f>B52</f>
        <v># nicht nach Hardware, sondern nach DBR aufgeteilt</v>
      </c>
    </row>
    <row r="53" spans="2:9" x14ac:dyDescent="0.35">
      <c r="B53" s="75" t="s">
        <v>252</v>
      </c>
      <c r="C53" s="90">
        <f xml:space="preserve"> P_brutto_average_CPU + P_brutto_average_GPU</f>
        <v>109.7718120805369</v>
      </c>
      <c r="D53" t="s">
        <v>237</v>
      </c>
      <c r="H53" s="61" t="str">
        <f ca="1">IF(AND(B53&lt;&gt;"",C53&lt;&gt;""),B53&amp;" "&amp;_xlfn.FORMULATEXT(C53)&amp;" # "&amp;D53,"")</f>
        <v>P_brutto_average_co = P_brutto_average_CPU + P_brutto_average_GPU # W</v>
      </c>
    </row>
    <row r="54" spans="2:9" x14ac:dyDescent="0.35">
      <c r="B54" s="75" t="s">
        <v>253</v>
      </c>
      <c r="C54" s="90">
        <f xml:space="preserve"> P_brutto_average_RAM</f>
        <v>23.355704697986578</v>
      </c>
      <c r="D54" t="s">
        <v>237</v>
      </c>
      <c r="H54" s="61" t="str">
        <f ca="1">IF(AND(B54&lt;&gt;"",C54&lt;&gt;""),B54&amp;" "&amp;_xlfn.FORMULATEXT(C54)&amp;" # "&amp;D54,"")</f>
        <v>P_brutto_average_me = P_brutto_average_RAM # W</v>
      </c>
    </row>
    <row r="55" spans="2:9" x14ac:dyDescent="0.35">
      <c r="B55" s="75" t="s">
        <v>254</v>
      </c>
      <c r="C55" s="90">
        <f xml:space="preserve"> P_brutto_average_SSD + P_brutto_average_HDD</f>
        <v>35.033557046979865</v>
      </c>
      <c r="D55" t="s">
        <v>237</v>
      </c>
      <c r="H55" s="61" t="str">
        <f ca="1">IF(AND(B55&lt;&gt;"",C55&lt;&gt;""),B55&amp;" "&amp;_xlfn.FORMULATEXT(C55)&amp;" # "&amp;D55,"")</f>
        <v>P_brutto_average_st = P_brutto_average_SSD + P_brutto_average_HDD # W</v>
      </c>
    </row>
    <row r="56" spans="2:9" x14ac:dyDescent="0.35">
      <c r="B56" s="75" t="s">
        <v>255</v>
      </c>
      <c r="C56" s="90">
        <f xml:space="preserve"> P_brutto_average_NW</f>
        <v>5.8389261744966445</v>
      </c>
      <c r="D56" t="s">
        <v>237</v>
      </c>
      <c r="H56" s="61" t="str">
        <f ca="1">IF(AND(B56&lt;&gt;"",C56&lt;&gt;""),B56&amp;" "&amp;_xlfn.FORMULATEXT(C56)&amp;" # "&amp;D56,"")</f>
        <v>P_brutto_average_tr = P_brutto_average_NW # W</v>
      </c>
    </row>
    <row r="57" spans="2:9" x14ac:dyDescent="0.35">
      <c r="B57" s="75"/>
    </row>
    <row r="58" spans="2:9" x14ac:dyDescent="0.35">
      <c r="B58" s="75"/>
    </row>
    <row r="59" spans="2:9" x14ac:dyDescent="0.35">
      <c r="B59" s="75"/>
    </row>
    <row r="60" spans="2:9" ht="15.5" x14ac:dyDescent="0.35">
      <c r="B60" s="10" t="s">
        <v>58</v>
      </c>
    </row>
    <row r="62" spans="2:9" ht="37.5" thickBot="1" x14ac:dyDescent="0.4">
      <c r="B62" s="26" t="s">
        <v>244</v>
      </c>
      <c r="C62" s="31" t="s">
        <v>37</v>
      </c>
      <c r="D62" s="31" t="s">
        <v>38</v>
      </c>
      <c r="E62" s="31" t="s">
        <v>39</v>
      </c>
      <c r="F62" s="31" t="s">
        <v>40</v>
      </c>
      <c r="G62" s="31" t="s">
        <v>41</v>
      </c>
      <c r="H62" s="31" t="s">
        <v>42</v>
      </c>
      <c r="I62" s="27" t="s">
        <v>43</v>
      </c>
    </row>
    <row r="63" spans="2:9" ht="15.5" thickTop="1" thickBot="1" x14ac:dyDescent="0.4">
      <c r="B63" s="18" t="s">
        <v>10</v>
      </c>
      <c r="C63" s="86">
        <f xml:space="preserve"> P_idle_CPU</f>
        <v>50</v>
      </c>
      <c r="D63" s="86">
        <f>P_max_CPU</f>
        <v>150</v>
      </c>
      <c r="E63" s="7"/>
      <c r="F63" s="86">
        <f>P_average_CPU</f>
        <v>70</v>
      </c>
      <c r="G63" s="7">
        <f>z_CPU</f>
        <v>0.46979865771812079</v>
      </c>
      <c r="H63" s="91">
        <f>P_brutto_average_CPU</f>
        <v>81.744966442953015</v>
      </c>
      <c r="I63" s="8" t="s">
        <v>44</v>
      </c>
    </row>
    <row r="64" spans="2:9" ht="15" thickBot="1" x14ac:dyDescent="0.4">
      <c r="B64" s="18" t="s">
        <v>45</v>
      </c>
      <c r="C64" s="86">
        <f xml:space="preserve"> P_idle_GPU</f>
        <v>20</v>
      </c>
      <c r="D64" s="86">
        <f>P_max_GPU</f>
        <v>100</v>
      </c>
      <c r="E64" s="7"/>
      <c r="F64" s="86">
        <f>P_average_GPU</f>
        <v>24</v>
      </c>
      <c r="G64" s="7">
        <f>z_GPU</f>
        <v>0.16107382550335569</v>
      </c>
      <c r="H64" s="91">
        <f>P_brutto_average_GPU</f>
        <v>28.026845637583889</v>
      </c>
      <c r="I64" s="8" t="s">
        <v>44</v>
      </c>
    </row>
    <row r="65" spans="2:9" ht="15" thickBot="1" x14ac:dyDescent="0.4">
      <c r="B65" s="18" t="s">
        <v>13</v>
      </c>
      <c r="C65" s="86">
        <f xml:space="preserve"> P_idle_RAM</f>
        <v>20</v>
      </c>
      <c r="D65" s="86">
        <f>P_max_RAM</f>
        <v>20</v>
      </c>
      <c r="E65" s="7"/>
      <c r="F65" s="86">
        <f>P_average_RAM</f>
        <v>20</v>
      </c>
      <c r="G65" s="7">
        <f>z_RAM</f>
        <v>0.13422818791946309</v>
      </c>
      <c r="H65" s="91">
        <f>P_brutto_average_RAM</f>
        <v>23.355704697986578</v>
      </c>
      <c r="I65" s="8" t="s">
        <v>46</v>
      </c>
    </row>
    <row r="66" spans="2:9" ht="15" thickBot="1" x14ac:dyDescent="0.4">
      <c r="B66" s="18" t="s">
        <v>47</v>
      </c>
      <c r="C66" s="86">
        <f xml:space="preserve"> P_idle_SSD</f>
        <v>10</v>
      </c>
      <c r="D66" s="86">
        <f>P_max_SSD</f>
        <v>10</v>
      </c>
      <c r="E66" s="7"/>
      <c r="F66" s="86">
        <f>P_average_SSD</f>
        <v>10</v>
      </c>
      <c r="G66" s="7">
        <f>z_SSD</f>
        <v>6.7114093959731544E-2</v>
      </c>
      <c r="H66" s="91">
        <f>P_brutto_average_SSD</f>
        <v>11.677852348993289</v>
      </c>
      <c r="I66" s="8" t="s">
        <v>48</v>
      </c>
    </row>
    <row r="67" spans="2:9" ht="15" thickBot="1" x14ac:dyDescent="0.4">
      <c r="B67" s="18" t="s">
        <v>49</v>
      </c>
      <c r="C67" s="86">
        <f xml:space="preserve"> P_idle_HDD</f>
        <v>20</v>
      </c>
      <c r="D67" s="86">
        <f>P_max_HDD</f>
        <v>20</v>
      </c>
      <c r="E67" s="7"/>
      <c r="F67" s="86">
        <f>P_average_HDD</f>
        <v>20</v>
      </c>
      <c r="G67" s="7">
        <f>z_HDD</f>
        <v>0.13422818791946309</v>
      </c>
      <c r="H67" s="91">
        <f>P_brutto_average_HDD</f>
        <v>23.355704697986578</v>
      </c>
      <c r="I67" s="8" t="s">
        <v>48</v>
      </c>
    </row>
    <row r="68" spans="2:9" ht="15" thickBot="1" x14ac:dyDescent="0.4">
      <c r="B68" s="18" t="s">
        <v>50</v>
      </c>
      <c r="C68" s="86">
        <f xml:space="preserve"> P_idle_NW</f>
        <v>5</v>
      </c>
      <c r="D68" s="86">
        <f>P_max_NW</f>
        <v>5</v>
      </c>
      <c r="E68" s="7"/>
      <c r="F68" s="86">
        <f>P_average_NW</f>
        <v>5</v>
      </c>
      <c r="G68" s="7">
        <f>z_NW</f>
        <v>3.3557046979865772E-2</v>
      </c>
      <c r="H68" s="91">
        <f>P_brutto_average_NW</f>
        <v>5.8389261744966445</v>
      </c>
      <c r="I68" s="8" t="s">
        <v>51</v>
      </c>
    </row>
    <row r="69" spans="2:9" ht="15" thickBot="1" x14ac:dyDescent="0.4">
      <c r="B69" s="18" t="s">
        <v>52</v>
      </c>
      <c r="C69" s="86">
        <f xml:space="preserve"> P_idle_total - SUM(C63:C68)</f>
        <v>25</v>
      </c>
      <c r="D69" s="86">
        <f>P_max_total-SUM(D63:D68)</f>
        <v>25</v>
      </c>
      <c r="E69" s="7"/>
      <c r="F69" s="86">
        <f>P_average_total-SUM(F63:F68)</f>
        <v>25</v>
      </c>
      <c r="G69" s="11" t="s">
        <v>35</v>
      </c>
      <c r="H69" s="91" t="s">
        <v>35</v>
      </c>
      <c r="I69" s="8" t="s">
        <v>35</v>
      </c>
    </row>
    <row r="70" spans="2:9" x14ac:dyDescent="0.35">
      <c r="B70" s="28" t="s">
        <v>36</v>
      </c>
      <c r="C70" s="15" t="s">
        <v>541</v>
      </c>
      <c r="D70" s="15" t="s">
        <v>53</v>
      </c>
      <c r="E70" s="77"/>
      <c r="F70" s="15" t="s">
        <v>54</v>
      </c>
      <c r="G70" s="80" t="s">
        <v>56</v>
      </c>
      <c r="H70" s="15" t="s">
        <v>54</v>
      </c>
      <c r="I70" s="83"/>
    </row>
    <row r="71" spans="2:9" x14ac:dyDescent="0.35">
      <c r="B71" s="29"/>
      <c r="C71" s="87">
        <f xml:space="preserve"> P_idle_total</f>
        <v>150</v>
      </c>
      <c r="D71" s="87">
        <f>P_max_total</f>
        <v>330</v>
      </c>
      <c r="E71" s="78"/>
      <c r="F71" s="16" t="s">
        <v>55</v>
      </c>
      <c r="G71" s="81"/>
      <c r="H71" s="16" t="s">
        <v>57</v>
      </c>
      <c r="I71" s="84"/>
    </row>
    <row r="72" spans="2:9" ht="15" thickBot="1" x14ac:dyDescent="0.4">
      <c r="B72" s="30"/>
      <c r="C72" s="17"/>
      <c r="D72" s="17"/>
      <c r="E72" s="79"/>
      <c r="F72" s="86">
        <f>P_average_total</f>
        <v>174</v>
      </c>
      <c r="G72" s="82"/>
      <c r="H72" s="86">
        <f xml:space="preserve"> SUM(H63:H69)</f>
        <v>173.99999999999997</v>
      </c>
      <c r="I72" s="85"/>
    </row>
    <row r="73" spans="2:9" x14ac:dyDescent="0.35">
      <c r="B73" s="75"/>
    </row>
    <row r="74" spans="2:9" x14ac:dyDescent="0.35">
      <c r="B74" s="75"/>
    </row>
    <row r="75" spans="2:9" x14ac:dyDescent="0.35">
      <c r="B75" s="75"/>
    </row>
  </sheetData>
  <pageMargins left="0.7" right="0.7" top="0.78740157499999996" bottom="0.78740157499999996"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992F80-094B-4D0A-999D-EA3DEBE8A0AF}">
  <dimension ref="B2:H79"/>
  <sheetViews>
    <sheetView workbookViewId="0"/>
  </sheetViews>
  <sheetFormatPr baseColWidth="10" defaultRowHeight="14.5" x14ac:dyDescent="0.35"/>
  <cols>
    <col min="1" max="1" width="8" customWidth="1"/>
    <col min="2" max="2" width="28" customWidth="1"/>
    <col min="3" max="3" width="12" bestFit="1" customWidth="1"/>
    <col min="5" max="5" width="23.453125" customWidth="1"/>
    <col min="6" max="6" width="27.453125" customWidth="1"/>
    <col min="7" max="7" width="11.1796875" customWidth="1"/>
    <col min="8" max="8" width="71.26953125" bestFit="1" customWidth="1"/>
  </cols>
  <sheetData>
    <row r="2" spans="2:8" ht="21" x14ac:dyDescent="0.5">
      <c r="B2" s="69" t="s">
        <v>542</v>
      </c>
    </row>
    <row r="4" spans="2:8" x14ac:dyDescent="0.35">
      <c r="B4" s="59" t="s">
        <v>280</v>
      </c>
      <c r="H4" s="61" t="str">
        <f>B4</f>
        <v># Digitale Basisressourcen DBR_maximal</v>
      </c>
    </row>
    <row r="6" spans="2:8" x14ac:dyDescent="0.35">
      <c r="B6" t="s">
        <v>257</v>
      </c>
      <c r="C6" s="71">
        <v>128</v>
      </c>
      <c r="D6" t="s">
        <v>553</v>
      </c>
      <c r="E6" t="s">
        <v>273</v>
      </c>
      <c r="F6" t="s">
        <v>12</v>
      </c>
      <c r="H6" s="61" t="str">
        <f xml:space="preserve"> IF(B6&lt;&gt;"",B6&amp;" =  "&amp;SUBSTITUTE(C6,",",".")&amp;" # "&amp;D6,"")</f>
        <v>DBR_CPU =  128 # GHz*bit (input)</v>
      </c>
    </row>
    <row r="7" spans="2:8" x14ac:dyDescent="0.35">
      <c r="B7" t="s">
        <v>258</v>
      </c>
      <c r="C7" s="71">
        <v>0</v>
      </c>
      <c r="D7" t="s">
        <v>554</v>
      </c>
      <c r="E7" t="s">
        <v>274</v>
      </c>
      <c r="F7" t="s">
        <v>262</v>
      </c>
      <c r="H7" s="61" t="str">
        <f>IF(B7&lt;&gt;"",B7&amp;" = "&amp;SUBSTITUTE(C7,",",".")&amp;" # "&amp;D7,"")</f>
        <v>DBR_GPU = 0 # TFLOPS (input)</v>
      </c>
    </row>
    <row r="8" spans="2:8" x14ac:dyDescent="0.35">
      <c r="B8" t="s">
        <v>259</v>
      </c>
      <c r="C8" s="71">
        <v>8</v>
      </c>
      <c r="D8" t="s">
        <v>555</v>
      </c>
      <c r="E8" t="s">
        <v>275</v>
      </c>
      <c r="F8" t="s">
        <v>15</v>
      </c>
      <c r="H8" s="61" t="str">
        <f>IF(B8&lt;&gt;"",B8&amp;" = "&amp;SUBSTITUTE(C8,",",".")&amp;" # "&amp;D8,"")</f>
        <v>DBR_RAM = 8 # Gigabyte (input)</v>
      </c>
    </row>
    <row r="9" spans="2:8" x14ac:dyDescent="0.35">
      <c r="B9" t="s">
        <v>260</v>
      </c>
      <c r="C9" s="92">
        <v>4000</v>
      </c>
      <c r="D9" t="s">
        <v>555</v>
      </c>
      <c r="E9" t="s">
        <v>276</v>
      </c>
      <c r="F9" t="s">
        <v>18</v>
      </c>
      <c r="H9" s="61" t="str">
        <f>IF(B9&lt;&gt;"",B9&amp;" = "&amp;SUBSTITUTE(C9,",",".")&amp;" # "&amp;D9,"")</f>
        <v>DBR_SSDHDD = 4000 # Gigabyte (input)</v>
      </c>
    </row>
    <row r="10" spans="2:8" x14ac:dyDescent="0.35">
      <c r="B10" t="s">
        <v>261</v>
      </c>
      <c r="C10" s="71">
        <v>100</v>
      </c>
      <c r="D10" t="s">
        <v>556</v>
      </c>
      <c r="E10" t="s">
        <v>277</v>
      </c>
      <c r="F10" t="s">
        <v>21</v>
      </c>
      <c r="H10" s="61" t="str">
        <f>IF(B10&lt;&gt;"",B10&amp;" = "&amp;SUBSTITUTE(C10,",",".")&amp;" # "&amp;D10,"")</f>
        <v>DBR_NW = 100 # Megabit/s (input)</v>
      </c>
    </row>
    <row r="12" spans="2:8" x14ac:dyDescent="0.35">
      <c r="B12" s="59" t="s">
        <v>263</v>
      </c>
      <c r="H12" s="61" t="str">
        <f>B12</f>
        <v># Durchschnittliche Auslastung oder Belegung (Load_average)</v>
      </c>
    </row>
    <row r="14" spans="2:8" x14ac:dyDescent="0.35">
      <c r="B14" t="s">
        <v>264</v>
      </c>
      <c r="C14" s="93">
        <v>0.2</v>
      </c>
      <c r="D14" t="s">
        <v>557</v>
      </c>
      <c r="H14" s="61" t="str">
        <f>IF(B14&lt;&gt;"",B14&amp;" = "&amp;SUBSTITUTE(C14,",",".")&amp;" # "&amp;D14,"")</f>
        <v>Load_average_CPU = 0.2 #  (input)</v>
      </c>
    </row>
    <row r="15" spans="2:8" x14ac:dyDescent="0.35">
      <c r="B15" t="s">
        <v>265</v>
      </c>
      <c r="C15" s="93">
        <v>0</v>
      </c>
      <c r="D15" t="s">
        <v>557</v>
      </c>
      <c r="H15" s="61" t="str">
        <f>IF(B15&lt;&gt;"",B15&amp;" = "&amp;SUBSTITUTE(C15,",",".")&amp;" # "&amp;D15,"")</f>
        <v>Load_average_GPU = 0 #  (input)</v>
      </c>
    </row>
    <row r="16" spans="2:8" x14ac:dyDescent="0.35">
      <c r="B16" t="s">
        <v>266</v>
      </c>
      <c r="C16" s="93">
        <v>0.1</v>
      </c>
      <c r="D16" t="s">
        <v>557</v>
      </c>
      <c r="H16" s="61" t="str">
        <f>IF(B16&lt;&gt;"",B16&amp;" = "&amp;SUBSTITUTE(C16,",",".")&amp;" # "&amp;D16,"")</f>
        <v>Load_average_RAM = 0.1 #  (input)</v>
      </c>
    </row>
    <row r="17" spans="2:8" x14ac:dyDescent="0.35">
      <c r="B17" t="s">
        <v>267</v>
      </c>
      <c r="C17" s="93">
        <v>0.5</v>
      </c>
      <c r="D17" t="s">
        <v>557</v>
      </c>
      <c r="H17" s="61" t="str">
        <f>IF(B17&lt;&gt;"",B17&amp;" = "&amp;SUBSTITUTE(C17,",",".")&amp;" # "&amp;D17,"")</f>
        <v>Load_average_SSDHDD = 0.5 #  (input)</v>
      </c>
    </row>
    <row r="18" spans="2:8" x14ac:dyDescent="0.35">
      <c r="B18" t="s">
        <v>268</v>
      </c>
      <c r="C18" s="93">
        <v>0.02</v>
      </c>
      <c r="D18" t="s">
        <v>557</v>
      </c>
      <c r="H18" s="61" t="str">
        <f>IF(B18&lt;&gt;"",B18&amp;" = "&amp;SUBSTITUTE(C18,",",".")&amp;" # "&amp;D18,"")</f>
        <v>Load_average_NW = 0.02 #  (input)</v>
      </c>
    </row>
    <row r="20" spans="2:8" x14ac:dyDescent="0.35">
      <c r="B20" s="59" t="s">
        <v>543</v>
      </c>
      <c r="H20" s="61" t="str">
        <f>B20</f>
        <v># Technische Lebensdauer oder Nutzungsdauer der Hardware - Plattform</v>
      </c>
    </row>
    <row r="22" spans="2:8" x14ac:dyDescent="0.35">
      <c r="B22" t="s">
        <v>270</v>
      </c>
      <c r="C22" s="71">
        <v>4</v>
      </c>
      <c r="D22" t="s">
        <v>558</v>
      </c>
      <c r="H22" s="61" t="str">
        <f>IF(B22&lt;&gt;"",B22&amp;" = "&amp;SUBSTITUTE(C22,",",".")&amp;" # "&amp;D22,"")</f>
        <v>Lifetime = 4 # a (input)</v>
      </c>
    </row>
    <row r="24" spans="2:8" x14ac:dyDescent="0.35">
      <c r="B24" s="59" t="s">
        <v>281</v>
      </c>
      <c r="H24" s="61" t="str">
        <f>B24</f>
        <v># Digitale Basisressourcen DBR_average</v>
      </c>
    </row>
    <row r="26" spans="2:8" x14ac:dyDescent="0.35">
      <c r="B26" t="s">
        <v>282</v>
      </c>
      <c r="C26" s="96">
        <f xml:space="preserve"> DBR_CPU * Load_average_CPU</f>
        <v>25.6</v>
      </c>
      <c r="D26" t="str">
        <f>DBR_CPU_unit</f>
        <v>GHz*bit (input)</v>
      </c>
      <c r="E26" t="s">
        <v>279</v>
      </c>
      <c r="H26" s="61" t="str">
        <f ca="1">IF(AND(B26&lt;&gt;"",C26&lt;&gt;""),B26&amp;" "&amp;_xlfn.FORMULATEXT(C26)&amp;" # "&amp;D26,"")</f>
        <v>DBR_co_average = DBR_CPU * Load_average_CPU # GHz*bit (input)</v>
      </c>
    </row>
    <row r="27" spans="2:8" x14ac:dyDescent="0.35">
      <c r="B27" t="s">
        <v>283</v>
      </c>
      <c r="C27" s="96">
        <f xml:space="preserve"> DBR_RAM * Load_average_RAM</f>
        <v>0.8</v>
      </c>
      <c r="D27" t="str">
        <f>DBR_RAM_unit</f>
        <v>Gigabyte (input)</v>
      </c>
      <c r="H27" s="61" t="str">
        <f ca="1">IF(AND(B27&lt;&gt;"",C27&lt;&gt;""),B27&amp;" "&amp;_xlfn.FORMULATEXT(C27)&amp;" # "&amp;D27,"")</f>
        <v>DBR_me_average = DBR_RAM * Load_average_RAM # Gigabyte (input)</v>
      </c>
    </row>
    <row r="28" spans="2:8" x14ac:dyDescent="0.35">
      <c r="B28" t="s">
        <v>284</v>
      </c>
      <c r="C28" s="96">
        <f xml:space="preserve"> DBR_SSDHDD * Load_average_SSDHDD</f>
        <v>2000</v>
      </c>
      <c r="D28" t="str">
        <f>DBR_CPU_unit</f>
        <v>GHz*bit (input)</v>
      </c>
      <c r="H28" s="61" t="str">
        <f ca="1">IF(AND(B28&lt;&gt;"",C28&lt;&gt;""),B28&amp;" "&amp;_xlfn.FORMULATEXT(C28)&amp;" # "&amp;D28,"")</f>
        <v>DBR_st_average = DBR_SSDHDD * Load_average_SSDHDD # GHz*bit (input)</v>
      </c>
    </row>
    <row r="29" spans="2:8" x14ac:dyDescent="0.35">
      <c r="B29" t="s">
        <v>285</v>
      </c>
      <c r="C29" s="96">
        <f xml:space="preserve"> DBR_NW * Load_average_NW</f>
        <v>2</v>
      </c>
      <c r="D29" t="str">
        <f>DBR_NW_unit</f>
        <v>Megabit/s (input)</v>
      </c>
      <c r="H29" s="61" t="str">
        <f ca="1">IF(AND(B29&lt;&gt;"",C29&lt;&gt;""),B29&amp;" "&amp;_xlfn.FORMULATEXT(C29)&amp;" # "&amp;D29,"")</f>
        <v>DBR_tr_average = DBR_NW * Load_average_NW # Megabit/s (input)</v>
      </c>
    </row>
    <row r="30" spans="2:8" x14ac:dyDescent="0.35">
      <c r="H30" s="61" t="str">
        <f t="shared" ref="H30" si="0">IF(B30&lt;&gt;"",B30&amp;" = "&amp;SUBSTITUTE(IF(C30&lt;1,TEXT(C30,"0,0000E+00"),TEXT(C30,"0,0000")),",",".")&amp;" # "&amp;D30,"")</f>
        <v/>
      </c>
    </row>
    <row r="31" spans="2:8" x14ac:dyDescent="0.35">
      <c r="B31" s="59" t="s">
        <v>544</v>
      </c>
      <c r="H31" s="61" t="str">
        <f>B31</f>
        <v># Digitale Arbeit der Hardware - Plattform über die Lebensdauer</v>
      </c>
    </row>
    <row r="32" spans="2:8" ht="27" customHeight="1" x14ac:dyDescent="0.35"/>
    <row r="33" spans="2:8" x14ac:dyDescent="0.35">
      <c r="B33" t="s">
        <v>269</v>
      </c>
      <c r="C33" s="58">
        <f xml:space="preserve"> DBR_CPU * Load_average_CPU * Lifetime * 8760 * 3600</f>
        <v>3229286400</v>
      </c>
      <c r="D33" t="str">
        <f>DBR_CPU_unit&amp;"*s"</f>
        <v>GHz*bit (input)*s</v>
      </c>
      <c r="E33" t="s">
        <v>279</v>
      </c>
      <c r="H33" s="61" t="str">
        <f ca="1">IF(AND(B33&lt;&gt;"",C33&lt;&gt;""),B33&amp;" "&amp;_xlfn.FORMULATEXT(C33)&amp;" # "&amp;D33,"")</f>
        <v>DW_co = DBR_CPU * Load_average_CPU * Lifetime * 8760 * 3600 # GHz*bit (input)*s</v>
      </c>
    </row>
    <row r="34" spans="2:8" x14ac:dyDescent="0.35">
      <c r="B34" t="s">
        <v>271</v>
      </c>
      <c r="C34" s="58">
        <f xml:space="preserve"> DBR_RAM * Load_average_RAM * Lifetime * 8760 * 3600</f>
        <v>100915200</v>
      </c>
      <c r="D34" t="str">
        <f>DBR_RAM_unit&amp;"*s"</f>
        <v>Gigabyte (input)*s</v>
      </c>
      <c r="H34" s="61" t="str">
        <f ca="1">IF(AND(B34&lt;&gt;"",C34&lt;&gt;""),B34&amp;" "&amp;_xlfn.FORMULATEXT(C34)&amp;" # "&amp;D34,"")</f>
        <v>DW_me = DBR_RAM * Load_average_RAM * Lifetime * 8760 * 3600 # Gigabyte (input)*s</v>
      </c>
    </row>
    <row r="35" spans="2:8" x14ac:dyDescent="0.35">
      <c r="B35" t="s">
        <v>278</v>
      </c>
      <c r="C35" s="58">
        <f xml:space="preserve"> DBR_SSDHDD * Load_average_SSDHDD * Lifetime * 8760 * 3600</f>
        <v>252288000000</v>
      </c>
      <c r="D35" t="str">
        <f>DBR_CPU_unit&amp;"*s"</f>
        <v>GHz*bit (input)*s</v>
      </c>
      <c r="H35" s="61" t="str">
        <f ca="1">IF(AND(B35&lt;&gt;"",C35&lt;&gt;""),B35&amp;" "&amp;_xlfn.FORMULATEXT(C35)&amp;" # "&amp;D35,"")</f>
        <v>DW_st = DBR_SSDHDD * Load_average_SSDHDD * Lifetime * 8760 * 3600 # GHz*bit (input)*s</v>
      </c>
    </row>
    <row r="36" spans="2:8" x14ac:dyDescent="0.35">
      <c r="B36" t="s">
        <v>272</v>
      </c>
      <c r="C36" s="58">
        <f xml:space="preserve"> DBR_NW * Load_average_NW * Lifetime * 8760 * 3600</f>
        <v>252288000</v>
      </c>
      <c r="D36" t="str">
        <f>DBR_NW_unit&amp;"*s"</f>
        <v>Megabit/s (input)*s</v>
      </c>
      <c r="H36" s="61" t="str">
        <f ca="1">IF(AND(B36&lt;&gt;"",C36&lt;&gt;""),B36&amp;" "&amp;_xlfn.FORMULATEXT(C36)&amp;" # "&amp;D36,"")</f>
        <v>DW_tr = DBR_NW * Load_average_NW * Lifetime * 8760 * 3600 # Megabit/s (input)*s</v>
      </c>
    </row>
    <row r="39" spans="2:8" ht="15.5" x14ac:dyDescent="0.35">
      <c r="B39" s="10" t="s">
        <v>545</v>
      </c>
    </row>
    <row r="40" spans="2:8" ht="15" thickBot="1" x14ac:dyDescent="0.4"/>
    <row r="41" spans="2:8" ht="15" thickBot="1" x14ac:dyDescent="0.4">
      <c r="B41" s="45" t="s">
        <v>99</v>
      </c>
      <c r="C41" s="46" t="s">
        <v>100</v>
      </c>
      <c r="D41" s="47" t="s">
        <v>6</v>
      </c>
    </row>
    <row r="42" spans="2:8" ht="15" thickBot="1" x14ac:dyDescent="0.4">
      <c r="B42" s="35" t="s">
        <v>121</v>
      </c>
      <c r="C42" s="36"/>
      <c r="D42" s="36"/>
    </row>
    <row r="43" spans="2:8" ht="15" thickBot="1" x14ac:dyDescent="0.4">
      <c r="B43" s="48" t="s">
        <v>122</v>
      </c>
      <c r="C43" s="94">
        <f xml:space="preserve"> Load_average_CPU</f>
        <v>0.2</v>
      </c>
      <c r="D43" s="39" t="s">
        <v>123</v>
      </c>
    </row>
    <row r="44" spans="2:8" ht="15" thickBot="1" x14ac:dyDescent="0.4">
      <c r="B44" s="43" t="s">
        <v>124</v>
      </c>
      <c r="C44" s="44"/>
      <c r="D44" s="44"/>
    </row>
    <row r="45" spans="2:8" ht="15" thickBot="1" x14ac:dyDescent="0.4">
      <c r="B45" s="49" t="s">
        <v>125</v>
      </c>
      <c r="C45" s="95">
        <f xml:space="preserve"> Load_average_GPU</f>
        <v>0</v>
      </c>
      <c r="D45" s="42" t="s">
        <v>123</v>
      </c>
    </row>
    <row r="46" spans="2:8" ht="15" thickBot="1" x14ac:dyDescent="0.4">
      <c r="B46" s="35" t="s">
        <v>126</v>
      </c>
      <c r="C46" s="36"/>
      <c r="D46" s="36"/>
    </row>
    <row r="47" spans="2:8" ht="15" thickBot="1" x14ac:dyDescent="0.4">
      <c r="B47" s="48" t="s">
        <v>122</v>
      </c>
      <c r="C47" s="94">
        <f xml:space="preserve"> Load_average_RAM</f>
        <v>0.1</v>
      </c>
      <c r="D47" s="39" t="s">
        <v>123</v>
      </c>
    </row>
    <row r="48" spans="2:8" ht="15" thickBot="1" x14ac:dyDescent="0.4">
      <c r="B48" s="43" t="s">
        <v>127</v>
      </c>
      <c r="C48" s="44"/>
      <c r="D48" s="44"/>
    </row>
    <row r="49" spans="2:4" ht="15" thickBot="1" x14ac:dyDescent="0.4">
      <c r="B49" s="49" t="s">
        <v>125</v>
      </c>
      <c r="C49" s="95">
        <f xml:space="preserve"> Load_average_SSDHDD</f>
        <v>0.5</v>
      </c>
      <c r="D49" s="42" t="s">
        <v>123</v>
      </c>
    </row>
    <row r="50" spans="2:4" ht="15" thickBot="1" x14ac:dyDescent="0.4">
      <c r="B50" s="35" t="s">
        <v>546</v>
      </c>
      <c r="C50" s="36"/>
      <c r="D50" s="36"/>
    </row>
    <row r="51" spans="2:4" ht="15" thickBot="1" x14ac:dyDescent="0.4">
      <c r="B51" s="48" t="s">
        <v>122</v>
      </c>
      <c r="C51" s="94">
        <f xml:space="preserve"> Load_average_NW</f>
        <v>0.02</v>
      </c>
      <c r="D51" s="39" t="s">
        <v>123</v>
      </c>
    </row>
    <row r="53" spans="2:4" ht="15.5" x14ac:dyDescent="0.35">
      <c r="B53" s="10" t="s">
        <v>547</v>
      </c>
    </row>
    <row r="54" spans="2:4" ht="15" thickBot="1" x14ac:dyDescent="0.4"/>
    <row r="55" spans="2:4" ht="15" thickBot="1" x14ac:dyDescent="0.4">
      <c r="B55" s="32" t="s">
        <v>99</v>
      </c>
      <c r="C55" s="33" t="s">
        <v>100</v>
      </c>
      <c r="D55" s="34" t="s">
        <v>6</v>
      </c>
    </row>
    <row r="56" spans="2:4" ht="15" thickBot="1" x14ac:dyDescent="0.4">
      <c r="B56" s="35" t="s">
        <v>101</v>
      </c>
      <c r="C56" s="36"/>
      <c r="D56" s="36"/>
    </row>
    <row r="57" spans="2:4" ht="15" thickBot="1" x14ac:dyDescent="0.4">
      <c r="B57" s="37" t="s">
        <v>102</v>
      </c>
      <c r="C57" s="38" t="s">
        <v>103</v>
      </c>
      <c r="D57" s="39" t="s">
        <v>104</v>
      </c>
    </row>
    <row r="58" spans="2:4" ht="15" thickBot="1" x14ac:dyDescent="0.4">
      <c r="B58" s="40" t="s">
        <v>105</v>
      </c>
      <c r="C58" s="41" t="s">
        <v>106</v>
      </c>
      <c r="D58" s="42" t="s">
        <v>107</v>
      </c>
    </row>
    <row r="59" spans="2:4" ht="15" thickBot="1" x14ac:dyDescent="0.4">
      <c r="B59" s="37" t="s">
        <v>548</v>
      </c>
      <c r="C59" s="38" t="s">
        <v>106</v>
      </c>
      <c r="D59" s="39" t="s">
        <v>108</v>
      </c>
    </row>
    <row r="60" spans="2:4" ht="15" thickBot="1" x14ac:dyDescent="0.4">
      <c r="B60" s="135" t="s">
        <v>109</v>
      </c>
      <c r="C60" s="136"/>
      <c r="D60" s="36"/>
    </row>
    <row r="61" spans="2:4" ht="15" thickBot="1" x14ac:dyDescent="0.4">
      <c r="B61" s="37" t="s">
        <v>102</v>
      </c>
      <c r="C61" s="38" t="s">
        <v>103</v>
      </c>
      <c r="D61" s="39" t="s">
        <v>104</v>
      </c>
    </row>
    <row r="62" spans="2:4" ht="15" thickBot="1" x14ac:dyDescent="0.4">
      <c r="B62" s="40" t="s">
        <v>110</v>
      </c>
      <c r="C62" s="41" t="s">
        <v>106</v>
      </c>
      <c r="D62" s="42" t="s">
        <v>111</v>
      </c>
    </row>
    <row r="63" spans="2:4" ht="15" thickBot="1" x14ac:dyDescent="0.4">
      <c r="B63" s="37" t="s">
        <v>112</v>
      </c>
      <c r="C63" s="38" t="s">
        <v>106</v>
      </c>
      <c r="D63" s="39" t="s">
        <v>113</v>
      </c>
    </row>
    <row r="64" spans="2:4" ht="15" thickBot="1" x14ac:dyDescent="0.4">
      <c r="B64" s="40" t="s">
        <v>114</v>
      </c>
      <c r="C64" s="41" t="s">
        <v>106</v>
      </c>
      <c r="D64" s="42" t="s">
        <v>115</v>
      </c>
    </row>
    <row r="65" spans="2:8" ht="15" thickBot="1" x14ac:dyDescent="0.4">
      <c r="B65" s="43" t="s">
        <v>13</v>
      </c>
      <c r="C65" s="44"/>
      <c r="D65" s="44"/>
    </row>
    <row r="66" spans="2:8" ht="15" thickBot="1" x14ac:dyDescent="0.4">
      <c r="B66" s="40" t="s">
        <v>116</v>
      </c>
      <c r="C66" s="41">
        <f xml:space="preserve"> DBR_RAM</f>
        <v>8</v>
      </c>
      <c r="D66" s="42" t="s">
        <v>117</v>
      </c>
    </row>
    <row r="67" spans="2:8" ht="15" thickBot="1" x14ac:dyDescent="0.4">
      <c r="B67" s="43" t="s">
        <v>551</v>
      </c>
      <c r="C67" s="44"/>
      <c r="D67" s="44"/>
    </row>
    <row r="68" spans="2:8" ht="15" thickBot="1" x14ac:dyDescent="0.4">
      <c r="B68" s="40" t="s">
        <v>116</v>
      </c>
      <c r="C68" s="41">
        <f xml:space="preserve"> DBR_SSDHDD / 1000</f>
        <v>4</v>
      </c>
      <c r="D68" s="42" t="s">
        <v>118</v>
      </c>
    </row>
    <row r="69" spans="2:8" ht="15" thickBot="1" x14ac:dyDescent="0.4">
      <c r="B69" s="43" t="s">
        <v>549</v>
      </c>
      <c r="C69" s="44"/>
      <c r="D69" s="44"/>
    </row>
    <row r="70" spans="2:8" ht="15" thickBot="1" x14ac:dyDescent="0.4">
      <c r="B70" s="40" t="s">
        <v>119</v>
      </c>
      <c r="C70" s="41">
        <f xml:space="preserve"> DBR_NW</f>
        <v>100</v>
      </c>
      <c r="D70" s="42" t="s">
        <v>120</v>
      </c>
    </row>
    <row r="72" spans="2:8" ht="15.5" x14ac:dyDescent="0.35">
      <c r="B72" s="10" t="s">
        <v>22</v>
      </c>
    </row>
    <row r="74" spans="2:8" ht="24" x14ac:dyDescent="0.35">
      <c r="B74" s="1" t="s">
        <v>550</v>
      </c>
      <c r="C74" s="131" t="s">
        <v>2</v>
      </c>
      <c r="D74" s="1" t="s">
        <v>3</v>
      </c>
      <c r="E74" s="131" t="s">
        <v>5</v>
      </c>
      <c r="F74" s="131" t="s">
        <v>6</v>
      </c>
      <c r="G74" s="131" t="s">
        <v>7</v>
      </c>
      <c r="H74" s="3" t="s">
        <v>8</v>
      </c>
    </row>
    <row r="75" spans="2:8" ht="24.5" thickBot="1" x14ac:dyDescent="0.4">
      <c r="B75" s="2" t="s">
        <v>1</v>
      </c>
      <c r="C75" s="132"/>
      <c r="D75" s="2" t="s">
        <v>4</v>
      </c>
      <c r="E75" s="132"/>
      <c r="F75" s="132"/>
      <c r="G75" s="132"/>
      <c r="H75" s="4" t="s">
        <v>9</v>
      </c>
    </row>
    <row r="76" spans="2:8" ht="25" thickTop="1" thickBot="1" x14ac:dyDescent="0.4">
      <c r="B76" s="18" t="s">
        <v>10</v>
      </c>
      <c r="C76" s="18" t="s">
        <v>11</v>
      </c>
      <c r="D76" s="18" t="s">
        <v>12</v>
      </c>
      <c r="E76" s="6">
        <f>DBR_CPU</f>
        <v>128</v>
      </c>
      <c r="F76" s="18" t="str">
        <f>DBR_CPU_unit</f>
        <v>GHz*bit (input)</v>
      </c>
      <c r="G76" s="7">
        <f>Load_average_CPU</f>
        <v>0.2</v>
      </c>
      <c r="H76" s="8" t="str">
        <f>DBR_co_average&amp;" "&amp;DBR_CPU_unit</f>
        <v>25,6 GHz*bit (input)</v>
      </c>
    </row>
    <row r="77" spans="2:8" ht="24.5" thickBot="1" x14ac:dyDescent="0.4">
      <c r="B77" s="18" t="s">
        <v>13</v>
      </c>
      <c r="C77" s="18" t="s">
        <v>14</v>
      </c>
      <c r="D77" s="18" t="s">
        <v>15</v>
      </c>
      <c r="E77" s="6">
        <f>DBR_RAM</f>
        <v>8</v>
      </c>
      <c r="F77" s="18" t="str">
        <f>DBR_RAM_unit</f>
        <v>Gigabyte (input)</v>
      </c>
      <c r="G77" s="7">
        <f>Load_average_RAM</f>
        <v>0.1</v>
      </c>
      <c r="H77" s="8" t="str">
        <f>DBR_me_average&amp;" "&amp;DBR_RAM_unit</f>
        <v>0,8 Gigabyte (input)</v>
      </c>
    </row>
    <row r="78" spans="2:8" ht="24.5" thickBot="1" x14ac:dyDescent="0.4">
      <c r="B78" s="18" t="s">
        <v>16</v>
      </c>
      <c r="C78" s="18" t="s">
        <v>17</v>
      </c>
      <c r="D78" s="18" t="s">
        <v>18</v>
      </c>
      <c r="E78" s="9">
        <f>DBR_SSDHDD</f>
        <v>4000</v>
      </c>
      <c r="F78" s="18" t="str">
        <f>DBR_SSDHDD_unit</f>
        <v>Gigabyte (input)</v>
      </c>
      <c r="G78" s="7">
        <f>Load_average_SSDHDD</f>
        <v>0.5</v>
      </c>
      <c r="H78" s="8" t="str">
        <f>DBR_st_average&amp;" "&amp;DBR_SSDHDD_unit</f>
        <v>2000 Gigabyte (input)</v>
      </c>
    </row>
    <row r="79" spans="2:8" ht="36.5" thickBot="1" x14ac:dyDescent="0.4">
      <c r="B79" s="18" t="s">
        <v>19</v>
      </c>
      <c r="C79" s="18" t="s">
        <v>20</v>
      </c>
      <c r="D79" s="18" t="s">
        <v>21</v>
      </c>
      <c r="E79" s="6">
        <f>DBR_NW</f>
        <v>100</v>
      </c>
      <c r="F79" s="18" t="str">
        <f>DBR_NW_unit</f>
        <v>Megabit/s (input)</v>
      </c>
      <c r="G79" s="7">
        <f>Load_average_NW</f>
        <v>0.02</v>
      </c>
      <c r="H79" s="8" t="str">
        <f>DBR_co_average&amp;" "&amp;DBR_NW_unit</f>
        <v>25,6 Megabit/s (input)</v>
      </c>
    </row>
  </sheetData>
  <mergeCells count="5">
    <mergeCell ref="B60:C60"/>
    <mergeCell ref="C74:C75"/>
    <mergeCell ref="E74:E75"/>
    <mergeCell ref="F74:F75"/>
    <mergeCell ref="G74:G75"/>
  </mergeCells>
  <pageMargins left="0.7" right="0.7" top="0.78740157499999996" bottom="0.78740157499999996"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BA7BCB-232E-4B8C-954A-3B4C72885400}">
  <dimension ref="B2:H61"/>
  <sheetViews>
    <sheetView workbookViewId="0"/>
  </sheetViews>
  <sheetFormatPr baseColWidth="10" defaultRowHeight="14.5" x14ac:dyDescent="0.35"/>
  <cols>
    <col min="2" max="2" width="17.26953125" customWidth="1"/>
    <col min="3" max="3" width="12.453125" bestFit="1" customWidth="1"/>
    <col min="5" max="5" width="23.453125" customWidth="1"/>
    <col min="6" max="6" width="13.453125" customWidth="1"/>
    <col min="8" max="8" width="62.453125" bestFit="1" customWidth="1"/>
  </cols>
  <sheetData>
    <row r="2" spans="2:8" ht="21" x14ac:dyDescent="0.5">
      <c r="B2" s="69" t="s">
        <v>286</v>
      </c>
      <c r="H2" s="70" t="str">
        <f>B2</f>
        <v># Aufwandskennzahlen für die Herstellung</v>
      </c>
    </row>
    <row r="3" spans="2:8" ht="40.5" customHeight="1" x14ac:dyDescent="0.35"/>
    <row r="4" spans="2:8" ht="15" customHeight="1" x14ac:dyDescent="0.35">
      <c r="B4" t="s">
        <v>288</v>
      </c>
      <c r="C4" s="58">
        <f xml:space="preserve"> CED_co / DW_co</f>
        <v>3.6428874678475722E-7</v>
      </c>
      <c r="D4" t="str">
        <f>"MJ/("&amp;DBR_CPU_unit&amp;"*s)"</f>
        <v>MJ/(GHz*bit (input)*s)</v>
      </c>
      <c r="H4" s="61" t="str">
        <f t="shared" ref="H4:H32" ca="1" si="0">IF(AND(B4&lt;&gt;"",C4&lt;&gt;""),B4&amp;" "&amp;_xlfn.FORMULATEXT(C4)&amp;" # "&amp;D4,"")</f>
        <v>EBR_CED_co = CED_co / DW_co # MJ/(GHz*bit (input)*s)</v>
      </c>
    </row>
    <row r="5" spans="2:8" ht="15" customHeight="1" x14ac:dyDescent="0.35">
      <c r="B5" t="s">
        <v>289</v>
      </c>
      <c r="C5" s="58">
        <f xml:space="preserve"> CED_me / DW_me</f>
        <v>2.0014322040938416E-5</v>
      </c>
      <c r="D5" t="str">
        <f>"MJ/("&amp;DBR_RAM_unit&amp;"*s)"</f>
        <v>MJ/(Gigabyte (input)*s)</v>
      </c>
      <c r="H5" s="61" t="str">
        <f t="shared" ca="1" si="0"/>
        <v>EBR_CED_me = CED_me / DW_me # MJ/(Gigabyte (input)*s)</v>
      </c>
    </row>
    <row r="6" spans="2:8" ht="15" customHeight="1" x14ac:dyDescent="0.35">
      <c r="B6" t="s">
        <v>290</v>
      </c>
      <c r="C6" s="58">
        <f xml:space="preserve"> CED_st / DW_st</f>
        <v>1.0363989079262869E-8</v>
      </c>
      <c r="D6" t="str">
        <f>"MJ/("&amp;DBR_SSDHDD_unit&amp;"*s)"</f>
        <v>MJ/(Gigabyte (input)*s)</v>
      </c>
      <c r="H6" s="61" t="str">
        <f t="shared" ca="1" si="0"/>
        <v>EBR_CED_st = CED_st / DW_st # MJ/(Gigabyte (input)*s)</v>
      </c>
    </row>
    <row r="7" spans="2:8" ht="15" customHeight="1" x14ac:dyDescent="0.35">
      <c r="B7" t="s">
        <v>291</v>
      </c>
      <c r="C7" s="58">
        <f xml:space="preserve"> CED_tr / DW_tr</f>
        <v>1.1688403086954617E-6</v>
      </c>
      <c r="D7" t="str">
        <f>"MJ/("&amp;DBR_NW_unit&amp;"*s)"</f>
        <v>MJ/(Megabit/s (input)*s)</v>
      </c>
      <c r="H7" s="61" t="str">
        <f t="shared" ca="1" si="0"/>
        <v>EBR_CED_tr = CED_tr / DW_tr # MJ/(Megabit/s (input)*s)</v>
      </c>
    </row>
    <row r="8" spans="2:8" ht="15" customHeight="1" x14ac:dyDescent="0.35">
      <c r="C8" s="58"/>
      <c r="H8" s="61" t="str">
        <f t="shared" ca="1" si="0"/>
        <v/>
      </c>
    </row>
    <row r="9" spans="2:8" ht="15" customHeight="1" x14ac:dyDescent="0.35">
      <c r="B9" t="s">
        <v>292</v>
      </c>
      <c r="C9" s="58">
        <f xml:space="preserve"> GWP_co / DW_co</f>
        <v>2.5473990804173405E-8</v>
      </c>
      <c r="D9" t="str">
        <f>"kg CO2 eq/("&amp;DBR_CPU_unit&amp;"*s)"</f>
        <v>kg CO2 eq/(GHz*bit (input)*s)</v>
      </c>
      <c r="F9" s="51"/>
      <c r="H9" s="61" t="str">
        <f t="shared" ca="1" si="0"/>
        <v>EBR_GWP_co = GWP_co / DW_co # kg CO2 eq/(GHz*bit (input)*s)</v>
      </c>
    </row>
    <row r="10" spans="2:8" ht="15" customHeight="1" x14ac:dyDescent="0.35">
      <c r="B10" t="s">
        <v>293</v>
      </c>
      <c r="C10" s="58">
        <f xml:space="preserve"> GWP_me / DW_me</f>
        <v>1.5452480135407677E-6</v>
      </c>
      <c r="D10" t="str">
        <f>"kg CO2 eq/("&amp;DBR_RAM_unit&amp;"*s)"</f>
        <v>kg CO2 eq/(Gigabyte (input)*s)</v>
      </c>
      <c r="H10" s="61" t="str">
        <f t="shared" ca="1" si="0"/>
        <v>EBR_GWP_me = GWP_me / DW_me # kg CO2 eq/(Gigabyte (input)*s)</v>
      </c>
    </row>
    <row r="11" spans="2:8" ht="15" customHeight="1" x14ac:dyDescent="0.35">
      <c r="B11" t="s">
        <v>294</v>
      </c>
      <c r="C11" s="58">
        <f xml:space="preserve"> GWP_st / DW_st</f>
        <v>8.2214750072584605E-10</v>
      </c>
      <c r="D11" t="str">
        <f>"kg CO2 eq/("&amp;DBR_SSDHDD_unit&amp;"*s)"</f>
        <v>kg CO2 eq/(Gigabyte (input)*s)</v>
      </c>
      <c r="H11" s="61" t="str">
        <f t="shared" ca="1" si="0"/>
        <v>EBR_GWP_st = GWP_st / DW_st # kg CO2 eq/(Gigabyte (input)*s)</v>
      </c>
    </row>
    <row r="12" spans="2:8" ht="15" customHeight="1" x14ac:dyDescent="0.35">
      <c r="B12" t="s">
        <v>295</v>
      </c>
      <c r="C12" s="58">
        <f xml:space="preserve"> GWP_tr / DW_tr</f>
        <v>9.0917676501324374E-8</v>
      </c>
      <c r="D12" t="str">
        <f>"kg CO2 eq/("&amp;DBR_NW_unit&amp;"*s)"</f>
        <v>kg CO2 eq/(Megabit/s (input)*s)</v>
      </c>
      <c r="H12" s="61" t="str">
        <f t="shared" ca="1" si="0"/>
        <v>EBR_GWP_tr = GWP_tr / DW_tr # kg CO2 eq/(Megabit/s (input)*s)</v>
      </c>
    </row>
    <row r="13" spans="2:8" ht="15" customHeight="1" x14ac:dyDescent="0.35">
      <c r="C13" s="58"/>
      <c r="H13" s="61" t="str">
        <f t="shared" ca="1" si="0"/>
        <v/>
      </c>
    </row>
    <row r="14" spans="2:8" ht="15" customHeight="1" x14ac:dyDescent="0.35">
      <c r="B14" t="s">
        <v>296</v>
      </c>
      <c r="C14" s="58">
        <f xml:space="preserve"> ADP_co / DW_co</f>
        <v>2.1185786129988186E-11</v>
      </c>
      <c r="D14" t="str">
        <f>"kg Sb eq/("&amp;DBR_CPU_unit&amp;"*s)"</f>
        <v>kg Sb eq/(GHz*bit (input)*s)</v>
      </c>
      <c r="H14" s="61" t="str">
        <f t="shared" ca="1" si="0"/>
        <v>EBR_ADP_co = ADP_co / DW_co # kg Sb eq/(GHz*bit (input)*s)</v>
      </c>
    </row>
    <row r="15" spans="2:8" ht="15" customHeight="1" x14ac:dyDescent="0.35">
      <c r="B15" t="s">
        <v>297</v>
      </c>
      <c r="C15" s="58">
        <f xml:space="preserve"> ADP_me / DW_me</f>
        <v>1.4273813217868817E-10</v>
      </c>
      <c r="D15" t="str">
        <f>"MJ/("&amp;DBR_RAM_unit&amp;"*s)"</f>
        <v>MJ/(Gigabyte (input)*s)</v>
      </c>
      <c r="H15" s="61" t="str">
        <f t="shared" ca="1" si="0"/>
        <v>EBR_ADP_me = ADP_me / DW_me # MJ/(Gigabyte (input)*s)</v>
      </c>
    </row>
    <row r="16" spans="2:8" ht="15" customHeight="1" x14ac:dyDescent="0.35">
      <c r="B16" t="s">
        <v>298</v>
      </c>
      <c r="C16" s="58">
        <f xml:space="preserve"> ADP_st / DW_st</f>
        <v>3.4354839416191673E-14</v>
      </c>
      <c r="D16" t="str">
        <f>"MJ/("&amp;DBR_SSDHDD_unit&amp;"*s)"</f>
        <v>MJ/(Gigabyte (input)*s)</v>
      </c>
      <c r="H16" s="61" t="str">
        <f t="shared" ca="1" si="0"/>
        <v>EBR_ADP_st = ADP_st / DW_st # MJ/(Gigabyte (input)*s)</v>
      </c>
    </row>
    <row r="17" spans="2:8" ht="15" customHeight="1" x14ac:dyDescent="0.35">
      <c r="B17" t="s">
        <v>299</v>
      </c>
      <c r="C17" s="58">
        <f xml:space="preserve"> ADP_tr / DW_tr</f>
        <v>7.9832547091007245E-12</v>
      </c>
      <c r="D17" t="str">
        <f>"MJ/("&amp;DBR_NW_unit&amp;"*s)"</f>
        <v>MJ/(Megabit/s (input)*s)</v>
      </c>
      <c r="H17" s="61" t="str">
        <f t="shared" ca="1" si="0"/>
        <v>EBR_ADP_tr = ADP_tr / DW_tr # MJ/(Megabit/s (input)*s)</v>
      </c>
    </row>
    <row r="18" spans="2:8" ht="15" customHeight="1" x14ac:dyDescent="0.35">
      <c r="C18" s="58"/>
      <c r="H18" s="61" t="str">
        <f t="shared" ca="1" si="0"/>
        <v/>
      </c>
    </row>
    <row r="19" spans="2:8" ht="15" customHeight="1" x14ac:dyDescent="0.35">
      <c r="B19" t="s">
        <v>300</v>
      </c>
      <c r="C19" s="58">
        <f xml:space="preserve"> Water_co / DW_co</f>
        <v>7.0140902407960562E-9</v>
      </c>
      <c r="D19" t="str">
        <f>"m³ World eq/("&amp;DBR_CPU_unit&amp;"*s)"</f>
        <v>m³ World eq/(GHz*bit (input)*s)</v>
      </c>
      <c r="H19" s="61" t="str">
        <f t="shared" ca="1" si="0"/>
        <v>EBR_Water_co = Water_co / DW_co # m³ World eq/(GHz*bit (input)*s)</v>
      </c>
    </row>
    <row r="20" spans="2:8" ht="15" customHeight="1" x14ac:dyDescent="0.35">
      <c r="B20" t="s">
        <v>301</v>
      </c>
      <c r="C20" s="58">
        <f xml:space="preserve"> Water_me / DW_me</f>
        <v>5.2571348235092437E-7</v>
      </c>
      <c r="D20" t="str">
        <f>"m³ World eq/("&amp;DBR_RAM_unit&amp;"*s)"</f>
        <v>m³ World eq/(Gigabyte (input)*s)</v>
      </c>
      <c r="H20" s="61" t="str">
        <f t="shared" ca="1" si="0"/>
        <v>EBR_Water_me = Water_me / DW_me # m³ World eq/(Gigabyte (input)*s)</v>
      </c>
    </row>
    <row r="21" spans="2:8" ht="15" customHeight="1" x14ac:dyDescent="0.35">
      <c r="B21" t="s">
        <v>302</v>
      </c>
      <c r="C21" s="58">
        <f xml:space="preserve"> Water_st / DW_st</f>
        <v>3.5738941727196552E-10</v>
      </c>
      <c r="D21" t="str">
        <f>"m³ World eq/("&amp;DBR_SSDHDD_unit&amp;"*s)"</f>
        <v>m³ World eq/(Gigabyte (input)*s)</v>
      </c>
      <c r="H21" s="61" t="str">
        <f t="shared" ca="1" si="0"/>
        <v>EBR_Water_st = Water_st / DW_st # m³ World eq/(Gigabyte (input)*s)</v>
      </c>
    </row>
    <row r="22" spans="2:8" x14ac:dyDescent="0.35">
      <c r="B22" t="s">
        <v>303</v>
      </c>
      <c r="C22" s="58">
        <f xml:space="preserve"> Water_tr / DW_tr</f>
        <v>4.3855956879340046E-8</v>
      </c>
      <c r="D22" t="str">
        <f>"m³ World eq/("&amp;DBR_NW_unit&amp;"*s)"</f>
        <v>m³ World eq/(Megabit/s (input)*s)</v>
      </c>
      <c r="H22" s="61" t="str">
        <f t="shared" ca="1" si="0"/>
        <v>EBR_Water_tr = Water_tr / DW_tr # m³ World eq/(Megabit/s (input)*s)</v>
      </c>
    </row>
    <row r="23" spans="2:8" x14ac:dyDescent="0.35">
      <c r="C23" s="58"/>
      <c r="H23" s="61" t="str">
        <f t="shared" ca="1" si="0"/>
        <v/>
      </c>
    </row>
    <row r="24" spans="2:8" x14ac:dyDescent="0.35">
      <c r="B24" t="s">
        <v>345</v>
      </c>
      <c r="C24" s="58">
        <f xml:space="preserve"> WEEE_co / DW_co</f>
        <v>8.8475982097557431E-10</v>
      </c>
      <c r="D24" t="str">
        <f>"kg WEEE/("&amp;DBR_CPU_unit&amp;"*s)"</f>
        <v>kg WEEE/(GHz*bit (input)*s)</v>
      </c>
      <c r="H24" s="61" t="str">
        <f t="shared" ca="1" si="0"/>
        <v>EBR_WEEE_co = WEEE_co / DW_co # kg WEEE/(GHz*bit (input)*s)</v>
      </c>
    </row>
    <row r="25" spans="2:8" x14ac:dyDescent="0.35">
      <c r="B25" t="s">
        <v>346</v>
      </c>
      <c r="C25" s="58">
        <f xml:space="preserve"> WEEE_me / DW_me</f>
        <v>1.4156157135609189E-8</v>
      </c>
      <c r="D25" t="str">
        <f>"kg WEEE/("&amp;DBR_RAM_unit&amp;"*s)"</f>
        <v>kg WEEE/(Gigabyte (input)*s)</v>
      </c>
      <c r="H25" s="61" t="str">
        <f t="shared" ca="1" si="0"/>
        <v>EBR_WEEE_me = WEEE_me / DW_me # kg WEEE/(Gigabyte (input)*s)</v>
      </c>
    </row>
    <row r="26" spans="2:8" x14ac:dyDescent="0.35">
      <c r="B26" t="s">
        <v>347</v>
      </c>
      <c r="C26" s="58">
        <f xml:space="preserve"> WEEE_st / DW_st</f>
        <v>5.6624628542436757E-11</v>
      </c>
      <c r="D26" t="str">
        <f>"kg WEEE/("&amp;DBR_SSDHDD_unit&amp;"*s)"</f>
        <v>kg WEEE/(Gigabyte (input)*s)</v>
      </c>
      <c r="H26" s="61" t="str">
        <f t="shared" ca="1" si="0"/>
        <v>EBR_WEEE_st = WEEE_st / DW_st # kg WEEE/(Gigabyte (input)*s)</v>
      </c>
    </row>
    <row r="27" spans="2:8" x14ac:dyDescent="0.35">
      <c r="B27" t="s">
        <v>348</v>
      </c>
      <c r="C27" s="58">
        <f xml:space="preserve"> WEEE_tr / DW_tr</f>
        <v>5.6624628542436756E-9</v>
      </c>
      <c r="D27" t="str">
        <f>"kg WEEE/("&amp;DBR_NW_unit&amp;"*s)"</f>
        <v>kg WEEE/(Megabit/s (input)*s)</v>
      </c>
      <c r="H27" s="61" t="str">
        <f t="shared" ca="1" si="0"/>
        <v>EBR_WEEE_tr = WEEE_tr / DW_tr # kg WEEE/(Megabit/s (input)*s)</v>
      </c>
    </row>
    <row r="28" spans="2:8" x14ac:dyDescent="0.35">
      <c r="C28" s="58"/>
      <c r="H28" s="61" t="str">
        <f t="shared" ca="1" si="0"/>
        <v/>
      </c>
    </row>
    <row r="29" spans="2:8" x14ac:dyDescent="0.35">
      <c r="B29" t="s">
        <v>349</v>
      </c>
      <c r="C29" s="58">
        <f xml:space="preserve"> TOX_co / DW_co</f>
        <v>1.0322197911381701E-10</v>
      </c>
      <c r="D29" t="str">
        <f>"kg MEG eq/("&amp;DBR_CPU_unit&amp;"*s)"</f>
        <v>kg MEG eq/(GHz*bit (input)*s)</v>
      </c>
      <c r="H29" s="61" t="str">
        <f t="shared" ca="1" si="0"/>
        <v>EBR_TOX_co = TOX_co / DW_co # kg MEG eq/(GHz*bit (input)*s)</v>
      </c>
    </row>
    <row r="30" spans="2:8" x14ac:dyDescent="0.35">
      <c r="B30" t="s">
        <v>350</v>
      </c>
      <c r="C30" s="58">
        <f xml:space="preserve"> TOX_me / DW_me</f>
        <v>1.6515516658210721E-9</v>
      </c>
      <c r="D30" t="str">
        <f>"kg MEG eq/("&amp;DBR_RAM_unit&amp;"*s)"</f>
        <v>kg MEG eq/(Gigabyte (input)*s)</v>
      </c>
      <c r="H30" s="61" t="str">
        <f t="shared" ca="1" si="0"/>
        <v>EBR_TOX_me = TOX_me / DW_me # kg MEG eq/(Gigabyte (input)*s)</v>
      </c>
    </row>
    <row r="31" spans="2:8" x14ac:dyDescent="0.35">
      <c r="B31" t="s">
        <v>351</v>
      </c>
      <c r="C31" s="58">
        <f xml:space="preserve"> TOX_st / DW_st</f>
        <v>1.3212413326568576E-12</v>
      </c>
      <c r="D31" t="str">
        <f>"kg MEG eq/("&amp;DBR_SSDHDD_unit&amp;"*s)"</f>
        <v>kg MEG eq/(Gigabyte (input)*s)</v>
      </c>
      <c r="H31" s="61" t="str">
        <f t="shared" ca="1" si="0"/>
        <v>EBR_TOX_st = TOX_st / DW_st # kg MEG eq/(Gigabyte (input)*s)</v>
      </c>
    </row>
    <row r="32" spans="2:8" x14ac:dyDescent="0.35">
      <c r="B32" t="s">
        <v>352</v>
      </c>
      <c r="C32" s="58">
        <f xml:space="preserve"> TOX_tr / DW_tr</f>
        <v>6.606206663284288E-10</v>
      </c>
      <c r="D32" t="str">
        <f>"kg MEG eq/("&amp;DBR_NW_unit&amp;"*s)"</f>
        <v>kg MEG eq/(Megabit/s (input)*s)</v>
      </c>
      <c r="H32" s="61" t="str">
        <f t="shared" ca="1" si="0"/>
        <v>EBR_TOX_tr = TOX_tr / DW_tr # kg MEG eq/(Megabit/s (input)*s)</v>
      </c>
    </row>
    <row r="35" spans="2:8" ht="15.5" x14ac:dyDescent="0.35">
      <c r="B35" s="10" t="s">
        <v>94</v>
      </c>
    </row>
    <row r="37" spans="2:8" ht="26.5" thickBot="1" x14ac:dyDescent="0.4">
      <c r="B37" s="22" t="s">
        <v>59</v>
      </c>
      <c r="C37" s="21" t="s">
        <v>66</v>
      </c>
      <c r="D37" s="21" t="s">
        <v>67</v>
      </c>
      <c r="E37" s="21" t="s">
        <v>68</v>
      </c>
      <c r="F37" s="21" t="s">
        <v>69</v>
      </c>
    </row>
    <row r="38" spans="2:8" ht="16.5" thickTop="1" thickBot="1" x14ac:dyDescent="0.4">
      <c r="B38" s="19" t="s">
        <v>60</v>
      </c>
      <c r="C38" s="20" t="s">
        <v>70</v>
      </c>
      <c r="D38" s="20" t="s">
        <v>71</v>
      </c>
      <c r="E38" s="20" t="s">
        <v>72</v>
      </c>
      <c r="F38" s="20" t="s">
        <v>73</v>
      </c>
    </row>
    <row r="39" spans="2:8" ht="31.5" thickBot="1" x14ac:dyDescent="0.4">
      <c r="B39" s="19" t="s">
        <v>61</v>
      </c>
      <c r="C39" s="20" t="s">
        <v>74</v>
      </c>
      <c r="D39" s="20" t="s">
        <v>75</v>
      </c>
      <c r="E39" s="20" t="s">
        <v>76</v>
      </c>
      <c r="F39" s="20" t="s">
        <v>77</v>
      </c>
    </row>
    <row r="40" spans="2:8" ht="16" thickBot="1" x14ac:dyDescent="0.4">
      <c r="B40" s="19" t="s">
        <v>62</v>
      </c>
      <c r="C40" s="20" t="s">
        <v>78</v>
      </c>
      <c r="D40" s="20" t="s">
        <v>79</v>
      </c>
      <c r="E40" s="20" t="s">
        <v>80</v>
      </c>
      <c r="F40" s="20" t="s">
        <v>81</v>
      </c>
    </row>
    <row r="41" spans="2:8" ht="28.5" thickBot="1" x14ac:dyDescent="0.4">
      <c r="B41" s="19" t="s">
        <v>63</v>
      </c>
      <c r="C41" s="20" t="s">
        <v>82</v>
      </c>
      <c r="D41" s="20" t="s">
        <v>83</v>
      </c>
      <c r="E41" s="20" t="s">
        <v>84</v>
      </c>
      <c r="F41" s="20" t="s">
        <v>85</v>
      </c>
    </row>
    <row r="42" spans="2:8" ht="28.5" thickBot="1" x14ac:dyDescent="0.4">
      <c r="B42" s="19" t="s">
        <v>64</v>
      </c>
      <c r="C42" s="20" t="s">
        <v>86</v>
      </c>
      <c r="D42" s="20" t="s">
        <v>87</v>
      </c>
      <c r="E42" s="20" t="s">
        <v>88</v>
      </c>
      <c r="F42" s="20" t="s">
        <v>89</v>
      </c>
    </row>
    <row r="43" spans="2:8" ht="16" thickBot="1" x14ac:dyDescent="0.4">
      <c r="B43" s="19" t="s">
        <v>65</v>
      </c>
      <c r="C43" s="20" t="s">
        <v>90</v>
      </c>
      <c r="D43" s="20" t="s">
        <v>91</v>
      </c>
      <c r="E43" s="20" t="s">
        <v>92</v>
      </c>
      <c r="F43" s="20" t="s">
        <v>93</v>
      </c>
    </row>
    <row r="46" spans="2:8" ht="21" x14ac:dyDescent="0.5">
      <c r="B46" s="69" t="s">
        <v>287</v>
      </c>
      <c r="H46" s="70" t="str">
        <f>B46</f>
        <v># Aufwandskennzahlen für die Nutzungsphase</v>
      </c>
    </row>
    <row r="47" spans="2:8" ht="49.5" customHeight="1" x14ac:dyDescent="0.35"/>
    <row r="48" spans="2:8" ht="15" customHeight="1" x14ac:dyDescent="0.35">
      <c r="B48" t="s">
        <v>354</v>
      </c>
      <c r="C48" s="114">
        <f xml:space="preserve"> P_brutto_average_co / DBR_co_average</f>
        <v>4.2879614093959724</v>
      </c>
      <c r="D48" t="str">
        <f>"W/("&amp;DBR_CPU_unit&amp;")"</f>
        <v>W/(GHz*bit (input))</v>
      </c>
      <c r="H48" s="61" t="str">
        <f ca="1">IF(AND(B48&lt;&gt;"",C48&lt;&gt;""),B48&amp;" "&amp;_xlfn.FORMULATEXT(C48)&amp;" # "&amp;D48,"")</f>
        <v>EBR_P_co = P_brutto_average_co / DBR_co_average # W/(GHz*bit (input))</v>
      </c>
    </row>
    <row r="49" spans="2:8" ht="15" customHeight="1" x14ac:dyDescent="0.35">
      <c r="B49" t="s">
        <v>355</v>
      </c>
      <c r="C49" s="114">
        <f xml:space="preserve"> P_brutto_average_me / DBR_me_average</f>
        <v>29.19463087248322</v>
      </c>
      <c r="D49" t="str">
        <f>"W/("&amp;DBR_RAM_unit&amp;")"</f>
        <v>W/(Gigabyte (input))</v>
      </c>
      <c r="H49" s="61" t="str">
        <f ca="1">IF(AND(B49&lt;&gt;"",C49&lt;&gt;""),B49&amp;" "&amp;_xlfn.FORMULATEXT(C49)&amp;" # "&amp;D49,"")</f>
        <v>EBR_P_me = P_brutto_average_me / DBR_me_average # W/(Gigabyte (input))</v>
      </c>
    </row>
    <row r="50" spans="2:8" ht="15" customHeight="1" x14ac:dyDescent="0.35">
      <c r="B50" t="s">
        <v>356</v>
      </c>
      <c r="C50" s="114">
        <f xml:space="preserve"> P_brutto_average_st / DBR_st_average</f>
        <v>1.7516778523489932E-2</v>
      </c>
      <c r="D50" t="str">
        <f>"W/("&amp;DBR_SSDHDD_unit&amp;")"</f>
        <v>W/(Gigabyte (input))</v>
      </c>
      <c r="H50" s="61" t="str">
        <f ca="1">IF(AND(B50&lt;&gt;"",C50&lt;&gt;""),B50&amp;" "&amp;_xlfn.FORMULATEXT(C50)&amp;" # "&amp;D50,"")</f>
        <v>EBR_P_st = P_brutto_average_st / DBR_st_average # W/(Gigabyte (input))</v>
      </c>
    </row>
    <row r="51" spans="2:8" ht="15" customHeight="1" x14ac:dyDescent="0.35">
      <c r="B51" t="s">
        <v>357</v>
      </c>
      <c r="C51" s="114">
        <f xml:space="preserve"> P_brutto_average_tr / DBR_tr_average</f>
        <v>2.9194630872483223</v>
      </c>
      <c r="D51" t="str">
        <f>"W/("&amp;DBR_NW_unit&amp;")"</f>
        <v>W/(Megabit/s (input))</v>
      </c>
      <c r="H51" s="61" t="str">
        <f ca="1">IF(AND(B51&lt;&gt;"",C51&lt;&gt;""),B51&amp;" "&amp;_xlfn.FORMULATEXT(C51)&amp;" # "&amp;D51,"")</f>
        <v>EBR_P_tr = P_brutto_average_tr / DBR_tr_average # W/(Megabit/s (input))</v>
      </c>
    </row>
    <row r="52" spans="2:8" ht="15" customHeight="1" x14ac:dyDescent="0.35"/>
    <row r="54" spans="2:8" ht="15.5" x14ac:dyDescent="0.35">
      <c r="B54" s="10" t="s">
        <v>98</v>
      </c>
    </row>
    <row r="56" spans="2:8" ht="36" x14ac:dyDescent="0.35">
      <c r="B56" s="137" t="s">
        <v>95</v>
      </c>
      <c r="C56" s="139" t="s">
        <v>96</v>
      </c>
      <c r="D56" s="23" t="s">
        <v>8</v>
      </c>
      <c r="E56" s="141" t="s">
        <v>97</v>
      </c>
    </row>
    <row r="57" spans="2:8" ht="37.5" thickBot="1" x14ac:dyDescent="0.4">
      <c r="B57" s="138"/>
      <c r="C57" s="140"/>
      <c r="D57" s="24" t="s">
        <v>9</v>
      </c>
      <c r="E57" s="142"/>
    </row>
    <row r="58" spans="2:8" ht="25" thickTop="1" thickBot="1" x14ac:dyDescent="0.4">
      <c r="B58" s="18" t="s">
        <v>11</v>
      </c>
      <c r="C58" s="100">
        <f xml:space="preserve"> P_brutto_average_co</f>
        <v>109.7718120805369</v>
      </c>
      <c r="D58" s="6" t="str">
        <f>DBR_co_average&amp;" "&amp;DBR_CPU_unit</f>
        <v>25,6 GHz*bit (input)</v>
      </c>
      <c r="E58" s="25" t="str">
        <f>ROUND(EBR_P_co,1)&amp;" W/("&amp;DBR_CPU_unit&amp;")"</f>
        <v>4,3 W/(GHz*bit (input))</v>
      </c>
    </row>
    <row r="59" spans="2:8" ht="24.5" thickBot="1" x14ac:dyDescent="0.4">
      <c r="B59" s="18" t="s">
        <v>14</v>
      </c>
      <c r="C59" s="100">
        <f xml:space="preserve"> P_brutto_average_me</f>
        <v>23.355704697986578</v>
      </c>
      <c r="D59" s="6" t="str">
        <f>DBR_me_average&amp;" "&amp;DBR_RAM_unit</f>
        <v>0,8 Gigabyte (input)</v>
      </c>
      <c r="E59" s="25" t="str">
        <f>ROUND(EBR_P_me,1)&amp;" W/("&amp;DBR_RAM_unit&amp;")"</f>
        <v>29,2 W/(Gigabyte (input))</v>
      </c>
    </row>
    <row r="60" spans="2:8" ht="24.5" thickBot="1" x14ac:dyDescent="0.4">
      <c r="B60" s="18" t="s">
        <v>17</v>
      </c>
      <c r="C60" s="100">
        <f xml:space="preserve"> P_brutto_average_st</f>
        <v>35.033557046979865</v>
      </c>
      <c r="D60" s="6" t="str">
        <f>DBR_st_average&amp;" "&amp;DBR_SSDHDD_unit</f>
        <v>2000 Gigabyte (input)</v>
      </c>
      <c r="E60" s="25" t="str">
        <f>ROUND(EBR_P_st,3)&amp;" W/("&amp;DBR_SSDHDD_unit&amp;")"</f>
        <v>0,018 W/(Gigabyte (input))</v>
      </c>
    </row>
    <row r="61" spans="2:8" ht="24.5" thickBot="1" x14ac:dyDescent="0.4">
      <c r="B61" s="18" t="s">
        <v>20</v>
      </c>
      <c r="C61" s="100">
        <f xml:space="preserve"> P_brutto_average_tr</f>
        <v>5.8389261744966445</v>
      </c>
      <c r="D61" s="6" t="str">
        <f>DBR_tr_average&amp;" "&amp;DBR_NW_unit</f>
        <v>2 Megabit/s (input)</v>
      </c>
      <c r="E61" s="25" t="str">
        <f>ROUND(EBR_P_tr,1)&amp;" W/("&amp;DBR_NW_unit&amp;")"</f>
        <v>2,9 W/(Megabit/s (input))</v>
      </c>
    </row>
  </sheetData>
  <mergeCells count="3">
    <mergeCell ref="B56:B57"/>
    <mergeCell ref="C56:C57"/>
    <mergeCell ref="E56:E57"/>
  </mergeCells>
  <pageMargins left="0.7" right="0.7" top="0.78740157499999996" bottom="0.78740157499999996"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E074EB-0074-4A95-8477-A7A17D8EDE90}">
  <dimension ref="B3:G49"/>
  <sheetViews>
    <sheetView workbookViewId="0"/>
  </sheetViews>
  <sheetFormatPr baseColWidth="10" defaultRowHeight="14.5" x14ac:dyDescent="0.35"/>
  <cols>
    <col min="2" max="2" width="113.453125" bestFit="1" customWidth="1"/>
    <col min="5" max="5" width="76.54296875" bestFit="1" customWidth="1"/>
    <col min="6" max="6" width="35.26953125" customWidth="1"/>
    <col min="7" max="7" width="48.7265625" customWidth="1"/>
  </cols>
  <sheetData>
    <row r="3" spans="2:7" x14ac:dyDescent="0.35">
      <c r="B3" s="59" t="s">
        <v>212</v>
      </c>
    </row>
    <row r="4" spans="2:7" x14ac:dyDescent="0.35">
      <c r="E4" s="126" t="s">
        <v>360</v>
      </c>
      <c r="F4" s="101"/>
    </row>
    <row r="5" spans="2:7" x14ac:dyDescent="0.35">
      <c r="B5" s="105" t="s">
        <v>388</v>
      </c>
      <c r="E5" s="119"/>
    </row>
    <row r="6" spans="2:7" x14ac:dyDescent="0.35">
      <c r="B6" s="104" t="s">
        <v>358</v>
      </c>
      <c r="E6" s="127" t="s">
        <v>358</v>
      </c>
    </row>
    <row r="7" spans="2:7" x14ac:dyDescent="0.35">
      <c r="B7" s="104" t="s">
        <v>361</v>
      </c>
      <c r="E7" s="127" t="s">
        <v>361</v>
      </c>
    </row>
    <row r="8" spans="2:7" x14ac:dyDescent="0.35">
      <c r="B8" s="104" t="str">
        <f>"    ""platform_ID"": """&amp;Platform_ID&amp;""","</f>
        <v xml:space="preserve">    "platform_ID": "Beispielserver zu Testzwecken",</v>
      </c>
      <c r="E8" s="127" t="s">
        <v>394</v>
      </c>
    </row>
    <row r="9" spans="2:7" x14ac:dyDescent="0.35">
      <c r="B9" s="104" t="str">
        <f>"    ""svhc_score"": "&amp;SVHC_Score&amp;","</f>
        <v xml:space="preserve">    "svhc_score": 5,</v>
      </c>
      <c r="E9" s="127" t="s">
        <v>362</v>
      </c>
    </row>
    <row r="10" spans="2:7" x14ac:dyDescent="0.35">
      <c r="B10" s="104" t="s">
        <v>363</v>
      </c>
      <c r="E10" s="127" t="s">
        <v>363</v>
      </c>
      <c r="G10" s="102"/>
    </row>
    <row r="11" spans="2:7" x14ac:dyDescent="0.35">
      <c r="B11" s="104" t="str">
        <f>"        ""load_average"": ["&amp;SUBSTITUTE(TEXT(Load_average_CPU,"Standard"),",",".")&amp;", "&amp;SUBSTITUTE(TEXT(Load_average_RAM,"Standard"),",",".")&amp;", "&amp;SUBSTITUTE(TEXT(Load_average_SSDHDD,"Standard"),",",".")&amp;", "&amp;SUBSTITUTE(TEXT(Load_average_NW,"Standard"),",",".")&amp;"],"</f>
        <v xml:space="preserve">        "load_average": [0.2, 0.1, 0.5, 0.02],</v>
      </c>
      <c r="E11" s="127" t="s">
        <v>384</v>
      </c>
      <c r="G11" s="102"/>
    </row>
    <row r="12" spans="2:7" x14ac:dyDescent="0.35">
      <c r="B12" s="104" t="str">
        <f>"        ""lifetime_average"": "&amp;SUBSTITUTE(TEXT(Lifetime,"Standard"),",",".")</f>
        <v xml:space="preserve">        "lifetime_average": 4</v>
      </c>
      <c r="E12" s="127" t="s">
        <v>385</v>
      </c>
    </row>
    <row r="13" spans="2:7" x14ac:dyDescent="0.35">
      <c r="B13" s="104" t="s">
        <v>364</v>
      </c>
      <c r="E13" s="127" t="s">
        <v>364</v>
      </c>
    </row>
    <row r="14" spans="2:7" x14ac:dyDescent="0.35">
      <c r="B14" s="104" t="s">
        <v>365</v>
      </c>
      <c r="E14" s="127" t="s">
        <v>365</v>
      </c>
      <c r="G14" s="102"/>
    </row>
    <row r="15" spans="2:7" x14ac:dyDescent="0.35">
      <c r="B15" s="104" t="str">
        <f>"        ""EBR_CED"": ["&amp;SUBSTITUTE(TEXT(EBR_CED_co,"Standard"),",",".")&amp;", "&amp;SUBSTITUTE(TEXT(EBR_CED_me,"Standard"),",",".")&amp;", "&amp;SUBSTITUTE(TEXT(EBR_CED_st,"Standard"),",",".")&amp;", "&amp;SUBSTITUTE(TEXT(EBR_CED_tr,"Standard"),",",".")&amp;"],"</f>
        <v xml:space="preserve">        "EBR_CED": [3.64289E-07, 2.00143E-05, 1.0364E-08, 1.16884E-06],</v>
      </c>
      <c r="E15" s="127" t="s">
        <v>366</v>
      </c>
      <c r="G15" s="102"/>
    </row>
    <row r="16" spans="2:7" x14ac:dyDescent="0.35">
      <c r="B16" s="104" t="str">
        <f>"        ""EBR_GWP"": ["&amp;SUBSTITUTE(TEXT(EBR_GWP_co,"Standard"),",",".")&amp;", "&amp;SUBSTITUTE(TEXT(EBR_GWP_me,"Standard"),",",".")&amp;", "&amp;SUBSTITUTE(TEXT(EBR_GWP_st,"Standard"),",",".")&amp;", "&amp;SUBSTITUTE(TEXT(EBR_GWP_tr,"Standard"),",",".")&amp;"],"</f>
        <v xml:space="preserve">        "EBR_GWP": [2.5474E-08, 1.54525E-06, 8.22148E-10, 9.09177E-08],</v>
      </c>
      <c r="E16" s="127" t="s">
        <v>367</v>
      </c>
      <c r="G16" s="102"/>
    </row>
    <row r="17" spans="2:7" x14ac:dyDescent="0.35">
      <c r="B17" s="104" t="str">
        <f>"        ""EBR_ADP"": ["&amp;SUBSTITUTE(TEXT(EBR_ADP_co,"Standard"),",",".")&amp;", "&amp;SUBSTITUTE(TEXT(EBR_ADP_me,"Standard"),",",".")&amp;", "&amp;SUBSTITUTE(TEXT(EBR_ADP_st,"Standard"),",",".")&amp;", "&amp;SUBSTITUTE(TEXT(EBR_ADP_tr,"Standard"),",",".")&amp;"],"</f>
        <v xml:space="preserve">        "EBR_ADP": [2.11858E-11, 1.42738E-10, 3.43548E-14, 7.98325E-12],</v>
      </c>
      <c r="E17" s="127" t="s">
        <v>368</v>
      </c>
      <c r="G17" s="102"/>
    </row>
    <row r="18" spans="2:7" x14ac:dyDescent="0.35">
      <c r="B18" s="104" t="str">
        <f>"        ""EBR_Water"": ["&amp;SUBSTITUTE(TEXT(EBR_Water_co,"Standard"),",",".")&amp;", "&amp;SUBSTITUTE(TEXT(EBR_Water_me,"Standard"),",",".")&amp;", "&amp;SUBSTITUTE(TEXT(EBR_Water_st,"Standard"),",",".")&amp;", "&amp;SUBSTITUTE(TEXT(EBR_Water_tr,"Standard"),",",".")&amp;"],"</f>
        <v xml:space="preserve">        "EBR_Water": [7.01409E-09, 5.25713E-07, 3.57389E-10, 4.3856E-08],</v>
      </c>
      <c r="E18" s="127" t="s">
        <v>369</v>
      </c>
      <c r="G18" s="102"/>
    </row>
    <row r="19" spans="2:7" x14ac:dyDescent="0.35">
      <c r="B19" s="104" t="str">
        <f>"        ""EBR_WEEE"": ["&amp;SUBSTITUTE(TEXT(EBR_WEEE_co,"Standard"),",",".")&amp;", "&amp;SUBSTITUTE(TEXT(EBR_WEEE_me,"Standard"),",",".")&amp;", "&amp;SUBSTITUTE(TEXT(EBR_WEEE_st,"Standard"),",",".")&amp;", "&amp;SUBSTITUTE(TEXT(EBR_WEEE_tr,"Standard"),",",".")&amp;"],"</f>
        <v xml:space="preserve">        "EBR_WEEE": [8.8476E-10, 1.41562E-08, 5.66246E-11, 5.66246E-09],</v>
      </c>
      <c r="E19" s="127" t="s">
        <v>370</v>
      </c>
      <c r="G19" s="102"/>
    </row>
    <row r="20" spans="2:7" x14ac:dyDescent="0.35">
      <c r="B20" s="104" t="str">
        <f>"        ""EBR_TOX"": ["&amp;SUBSTITUTE(TEXT(EBR_TOX_co,"Standard"),",",".")&amp;", "&amp;SUBSTITUTE(TEXT(EBR_TOX_me,"Standard"),",",".")&amp;", "&amp;SUBSTITUTE(TEXT(EBR_TOX_st,"Standard"),",",".")&amp;", "&amp;SUBSTITUTE(TEXT(EBR_TOX_tr,"Standard"),",",".")&amp;"]"</f>
        <v xml:space="preserve">        "EBR_TOX": [1.03222E-10, 1.65155E-09, 1.32124E-12, 6.60621E-10]</v>
      </c>
      <c r="E20" s="127" t="s">
        <v>371</v>
      </c>
    </row>
    <row r="21" spans="2:7" x14ac:dyDescent="0.35">
      <c r="B21" s="104" t="s">
        <v>364</v>
      </c>
      <c r="E21" s="127" t="s">
        <v>364</v>
      </c>
    </row>
    <row r="22" spans="2:7" x14ac:dyDescent="0.35">
      <c r="B22" s="104" t="s">
        <v>372</v>
      </c>
      <c r="E22" s="127" t="s">
        <v>372</v>
      </c>
      <c r="G22" s="102"/>
    </row>
    <row r="23" spans="2:7" x14ac:dyDescent="0.35">
      <c r="B23" s="104" t="str">
        <f>"        ""EBR_P"": ["&amp;SUBSTITUTE(TEXT(EBR_P_co,"Standard"),",",".")&amp;", "&amp;SUBSTITUTE(TEXT(EBR_P_me,"Standard"),",",".")&amp;", "&amp;SUBSTITUTE(TEXT(EBR_P_st,"Standard"),",",".")&amp;", "&amp;SUBSTITUTE(TEXT(EBR_P_tr,"Standard"),",",".")&amp;"]"</f>
        <v xml:space="preserve">        "EBR_P": [4.287961409, 29.19463087, 0.017516779, 2.919463087]</v>
      </c>
      <c r="E23" s="127" t="s">
        <v>373</v>
      </c>
    </row>
    <row r="24" spans="2:7" x14ac:dyDescent="0.35">
      <c r="B24" s="104" t="s">
        <v>374</v>
      </c>
      <c r="E24" s="127" t="s">
        <v>374</v>
      </c>
    </row>
    <row r="25" spans="2:7" x14ac:dyDescent="0.35">
      <c r="B25" s="104" t="s">
        <v>359</v>
      </c>
      <c r="E25" s="127" t="s">
        <v>359</v>
      </c>
    </row>
    <row r="28" spans="2:7" x14ac:dyDescent="0.35">
      <c r="E28" s="126" t="s">
        <v>383</v>
      </c>
    </row>
    <row r="29" spans="2:7" x14ac:dyDescent="0.35">
      <c r="B29" s="105" t="s">
        <v>389</v>
      </c>
      <c r="E29" s="119"/>
    </row>
    <row r="30" spans="2:7" x14ac:dyDescent="0.35">
      <c r="B30" s="104" t="s">
        <v>358</v>
      </c>
      <c r="E30" s="127" t="s">
        <v>358</v>
      </c>
    </row>
    <row r="31" spans="2:7" x14ac:dyDescent="0.35">
      <c r="B31" s="104" t="s">
        <v>375</v>
      </c>
      <c r="E31" s="127" t="s">
        <v>375</v>
      </c>
    </row>
    <row r="32" spans="2:7" x14ac:dyDescent="0.35">
      <c r="B32" s="104" t="str">
        <f>"    ""platform_ID"": """&amp;Platform_ID&amp;""","</f>
        <v xml:space="preserve">    "platform_ID": "Beispielserver zu Testzwecken",</v>
      </c>
      <c r="E32" s="127" t="s">
        <v>394</v>
      </c>
    </row>
    <row r="33" spans="2:5" x14ac:dyDescent="0.35">
      <c r="B33" s="104" t="str">
        <f>"    ""svhc_score"": "&amp;SVHC_Score&amp;","</f>
        <v xml:space="preserve">    "svhc_score": 5,</v>
      </c>
      <c r="E33" s="127" t="s">
        <v>362</v>
      </c>
    </row>
    <row r="34" spans="2:5" x14ac:dyDescent="0.35">
      <c r="B34" s="104" t="s">
        <v>363</v>
      </c>
      <c r="E34" s="127" t="s">
        <v>363</v>
      </c>
    </row>
    <row r="35" spans="2:5" x14ac:dyDescent="0.35">
      <c r="B35" s="104" t="str">
        <f>"        ""load_dynamic"": ["&amp;SUBSTITUTE(TEXT(Load_average_CPU,"Standard"),",",".")&amp;", "&amp;SUBSTITUTE(TEXT(Load_average_RAM,"Standard"),",",".")&amp;", "&amp;SUBSTITUTE(TEXT(Load_average_SSDHDD,"Standard"),",",".")&amp;", "&amp;SUBSTITUTE(TEXT(Load_average_NW,"Standard"),",",".")&amp;"],"</f>
        <v xml:space="preserve">        "load_dynamic": [0.2, 0.1, 0.5, 0.02],</v>
      </c>
      <c r="E35" s="127" t="s">
        <v>387</v>
      </c>
    </row>
    <row r="36" spans="2:5" x14ac:dyDescent="0.35">
      <c r="B36" s="104" t="str">
        <f>"        ""lifetime_dynamic"": "&amp;SUBSTITUTE(TEXT(Lifetime,"Standard"),",",".")</f>
        <v xml:space="preserve">        "lifetime_dynamic": 4</v>
      </c>
      <c r="E36" s="127" t="s">
        <v>386</v>
      </c>
    </row>
    <row r="37" spans="2:5" x14ac:dyDescent="0.35">
      <c r="B37" s="104" t="s">
        <v>364</v>
      </c>
      <c r="E37" s="127" t="s">
        <v>364</v>
      </c>
    </row>
    <row r="38" spans="2:5" x14ac:dyDescent="0.35">
      <c r="B38" s="104" t="s">
        <v>365</v>
      </c>
      <c r="E38" s="127" t="s">
        <v>365</v>
      </c>
    </row>
    <row r="39" spans="2:5" x14ac:dyDescent="0.35">
      <c r="B39" s="104" t="str">
        <f>"        ""EI_CED"": ["&amp;SUBSTITUTE(TEXT(CED_co,"Standard"),",",".")&amp;", "&amp;SUBSTITUTE(TEXT(CED_me,"Standard"),",",".")&amp;", "&amp;SUBSTITUTE(TEXT(CED_st,"Standard"),",",".")&amp;", "&amp;SUBSTITUTE(TEXT(CED_tr,"Standard"),",",".")&amp;"],"</f>
        <v xml:space="preserve">        "EI_CED": [1176.392696, 2019.749312, 2614.710077, 294.8843838],</v>
      </c>
      <c r="E39" s="127" t="s">
        <v>376</v>
      </c>
    </row>
    <row r="40" spans="2:5" x14ac:dyDescent="0.35">
      <c r="B40" s="104" t="str">
        <f>"        ""EI_GWP"": ["&amp;SUBSTITUTE(TEXT(GWP_co,"Standard"),",",".")&amp;", "&amp;SUBSTITUTE(TEXT(GWP_me,"Standard"),",",".")&amp;", "&amp;SUBSTITUTE(TEXT(GWP_st,"Standard"),",",".")&amp;", "&amp;SUBSTITUTE(TEXT(GWP_tr,"Standard"),",",".")&amp;"],"</f>
        <v xml:space="preserve">        "EI_GWP": [82.26281206, 155.9390123, 207.4179487, 22.93743877],</v>
      </c>
      <c r="E40" s="127" t="s">
        <v>377</v>
      </c>
    </row>
    <row r="41" spans="2:5" x14ac:dyDescent="0.35">
      <c r="B41" s="104" t="str">
        <f>"        ""EI_ADP"": ["&amp;SUBSTITUTE(TEXT(ADP_co,"Standard"),",",".")&amp;", "&amp;SUBSTITUTE(TEXT(ADP_me,"Standard"),",",".")&amp;", "&amp;SUBSTITUTE(TEXT(ADP_st,"Standard"),",",".")&amp;", "&amp;SUBSTITUTE(TEXT(ADP_tr,"Standard"),",",".")&amp;"],"</f>
        <v xml:space="preserve">        "EI_ADP": [0.068414971, 0.014404447, 0.008667314, 0.002014079],</v>
      </c>
      <c r="E41" s="127" t="s">
        <v>378</v>
      </c>
    </row>
    <row r="42" spans="2:5" x14ac:dyDescent="0.35">
      <c r="B42" s="104" t="str">
        <f>"        ""EI_Water"": ["&amp;SUBSTITUTE(TEXT(Water_co,"Standard"),",",".")&amp;", "&amp;SUBSTITUTE(TEXT(Water_me,"Standard"),",",".")&amp;", "&amp;SUBSTITUTE(TEXT(Water_st,"Standard"),",",".")&amp;", "&amp;SUBSTITUTE(TEXT(Water_tr,"Standard"),",",".")&amp;"],"</f>
        <v xml:space="preserve">        "EI_Water": [22.65050622, 53.05248121, 90.1650613, 11.06433165],</v>
      </c>
      <c r="E42" s="127" t="s">
        <v>379</v>
      </c>
    </row>
    <row r="43" spans="2:5" x14ac:dyDescent="0.35">
      <c r="B43" s="104" t="str">
        <f>"        ""EI_WEEE"": ["&amp;SUBSTITUTE(TEXT(WEEE_co,"Standard"),",",".")&amp;", "&amp;SUBSTITUTE(TEXT(WEEE_me,"Standard"),",",".")&amp;", "&amp;SUBSTITUTE(TEXT(WEEE_st,"Standard"),",",".")&amp;", "&amp;SUBSTITUTE(TEXT(WEEE_tr,"Standard"),",",".")&amp;"],"</f>
        <v xml:space="preserve">        "EI_WEEE": [2.857142857, 1.428571429, 14.28571429, 1.428571429],</v>
      </c>
      <c r="E43" s="127" t="s">
        <v>380</v>
      </c>
    </row>
    <row r="44" spans="2:5" x14ac:dyDescent="0.35">
      <c r="B44" s="104" t="str">
        <f>"        ""EI_TOX"": ["&amp;SUBSTITUTE(TEXT(TOX_co,"Standard"),",",".")&amp;", "&amp;SUBSTITUTE(TEXT(TOX_me,"Standard"),",",".")&amp;", "&amp;SUBSTITUTE(TEXT(TOX_st,"Standard"),",",".")&amp;", "&amp;SUBSTITUTE(TEXT(TOX_tr,"Standard"),",",".")&amp;"]"</f>
        <v xml:space="preserve">        "EI_TOX": [0.333333333, 0.166666667, 0.333333333, 0.166666667]</v>
      </c>
      <c r="E44" s="127" t="s">
        <v>381</v>
      </c>
    </row>
    <row r="45" spans="2:5" x14ac:dyDescent="0.35">
      <c r="B45" s="104" t="s">
        <v>364</v>
      </c>
      <c r="E45" s="127" t="s">
        <v>364</v>
      </c>
    </row>
    <row r="46" spans="2:5" x14ac:dyDescent="0.35">
      <c r="B46" s="104" t="s">
        <v>372</v>
      </c>
      <c r="E46" s="127" t="s">
        <v>372</v>
      </c>
    </row>
    <row r="47" spans="2:5" x14ac:dyDescent="0.35">
      <c r="B47" s="104" t="str">
        <f>"        ""P_function"": ["""&amp;P_idle_CPU&amp;"+Load*("&amp;P_max_CPU&amp;"-"&amp;P_idle_CPU&amp;")"", """&amp;P_idle_RAM&amp;"+Load*("&amp;P_max_RAM&amp;"-"&amp;P_idle_RAM&amp;")"", """&amp;P_idle_SSD&amp;"+Load*("&amp;P_max_SSD&amp;"-"&amp;P_idle_SSD&amp;")"", """&amp;P_idle_NW&amp;"+Load*("&amp;P_max_NW&amp;"-"&amp;P_idle_NW&amp;")""]"</f>
        <v xml:space="preserve">        "P_function": ["50+Load*(150-50)", "20+Load*(20-20)", "10+Load*(10-10)", "5+Load*(5-5)"]</v>
      </c>
      <c r="E47" s="127" t="s">
        <v>382</v>
      </c>
    </row>
    <row r="48" spans="2:5" x14ac:dyDescent="0.35">
      <c r="B48" s="104" t="s">
        <v>374</v>
      </c>
      <c r="E48" s="127" t="s">
        <v>374</v>
      </c>
    </row>
    <row r="49" spans="2:5" x14ac:dyDescent="0.35">
      <c r="B49" s="104" t="s">
        <v>359</v>
      </c>
      <c r="E49" s="127" t="s">
        <v>359</v>
      </c>
    </row>
  </sheetData>
  <pageMargins left="0.7" right="0.7" top="0.78740157499999996" bottom="0.78740157499999996"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C7B677-44F4-4F83-A994-AFAAD175990D}">
  <dimension ref="B2:H179"/>
  <sheetViews>
    <sheetView workbookViewId="0"/>
  </sheetViews>
  <sheetFormatPr baseColWidth="10" defaultRowHeight="14.5" x14ac:dyDescent="0.35"/>
  <cols>
    <col min="2" max="2" width="30.453125" customWidth="1"/>
    <col min="5" max="5" width="16.7265625" customWidth="1"/>
    <col min="8" max="8" width="51.26953125" bestFit="1" customWidth="1"/>
  </cols>
  <sheetData>
    <row r="2" spans="2:8" ht="21" x14ac:dyDescent="0.5">
      <c r="B2" s="69" t="s">
        <v>396</v>
      </c>
    </row>
    <row r="4" spans="2:8" x14ac:dyDescent="0.35">
      <c r="B4" s="59" t="s">
        <v>415</v>
      </c>
      <c r="H4" s="61" t="str">
        <f>B4</f>
        <v># Messung eines Standardnutzungsszenarios</v>
      </c>
    </row>
    <row r="6" spans="2:8" x14ac:dyDescent="0.35">
      <c r="B6" t="s">
        <v>416</v>
      </c>
      <c r="C6" s="106">
        <f xml:space="preserve"> 3600 * 24</f>
        <v>86400</v>
      </c>
      <c r="D6" t="s">
        <v>539</v>
      </c>
      <c r="E6">
        <f>time_execution/3600</f>
        <v>24</v>
      </c>
      <c r="F6" t="s">
        <v>536</v>
      </c>
      <c r="H6" s="61" t="str">
        <f>IF(B6&lt;&gt;"",B6&amp;" = "&amp;SUBSTITUTE(C6,",",".")&amp;" # "&amp;D6,"")</f>
        <v>time_execution = 86400 # s (input)</v>
      </c>
    </row>
    <row r="8" spans="2:8" x14ac:dyDescent="0.35">
      <c r="B8" s="59" t="s">
        <v>402</v>
      </c>
      <c r="H8" s="61" t="str">
        <f>B8</f>
        <v># Durchschnittliche Auslastung oder Belegung ohne die Ausführung der zu untersuchenden Software (Load_idle)</v>
      </c>
    </row>
    <row r="10" spans="2:8" x14ac:dyDescent="0.35">
      <c r="B10" t="s">
        <v>397</v>
      </c>
      <c r="C10" s="93">
        <v>0.1</v>
      </c>
      <c r="D10" t="s">
        <v>538</v>
      </c>
      <c r="H10" s="61" t="str">
        <f>IF(B10&lt;&gt;"",B10&amp;" = "&amp;SUBSTITUTE(C10,",",".")&amp;" # "&amp;D10,"")</f>
        <v>Load_idle_CPU = 0.1 # [0...1] (input)</v>
      </c>
    </row>
    <row r="11" spans="2:8" x14ac:dyDescent="0.35">
      <c r="B11" t="s">
        <v>398</v>
      </c>
      <c r="C11" s="93">
        <v>0</v>
      </c>
      <c r="D11" t="s">
        <v>538</v>
      </c>
      <c r="E11" t="s">
        <v>540</v>
      </c>
      <c r="H11" s="61" t="str">
        <f>IF(B11&lt;&gt;"",B11&amp;" = "&amp;SUBSTITUTE(C11,",",".")&amp;" # "&amp;D11&amp;" "&amp;E11,"")</f>
        <v>Load_idle_GPU = 0 # [0...1] (input) Achtung, GPU derzeit ignoriert</v>
      </c>
    </row>
    <row r="12" spans="2:8" x14ac:dyDescent="0.35">
      <c r="B12" t="s">
        <v>399</v>
      </c>
      <c r="C12" s="93">
        <v>0.05</v>
      </c>
      <c r="D12" t="s">
        <v>538</v>
      </c>
      <c r="H12" s="61" t="str">
        <f>IF(B12&lt;&gt;"",B12&amp;" = "&amp;SUBSTITUTE(C12,",",".")&amp;" # "&amp;D12,"")</f>
        <v>Load_idle_RAM = 0.05 # [0...1] (input)</v>
      </c>
    </row>
    <row r="13" spans="2:8" x14ac:dyDescent="0.35">
      <c r="B13" t="s">
        <v>400</v>
      </c>
      <c r="C13" s="93">
        <v>0.25</v>
      </c>
      <c r="D13" t="s">
        <v>538</v>
      </c>
      <c r="H13" s="61" t="str">
        <f>IF(B13&lt;&gt;"",B13&amp;" = "&amp;SUBSTITUTE(C13,",",".")&amp;" # "&amp;D13,"")</f>
        <v>Load_idle_SSDHDD = 0.25 # [0...1] (input)</v>
      </c>
    </row>
    <row r="14" spans="2:8" x14ac:dyDescent="0.35">
      <c r="B14" t="s">
        <v>401</v>
      </c>
      <c r="C14" s="93">
        <v>0.01</v>
      </c>
      <c r="D14" t="s">
        <v>538</v>
      </c>
      <c r="H14" s="61" t="str">
        <f>IF(B14&lt;&gt;"",B14&amp;" = "&amp;SUBSTITUTE(C14,",",".")&amp;" # "&amp;D14,"")</f>
        <v>Load_idle_NW = 0.01 # [0...1] (input)</v>
      </c>
    </row>
    <row r="16" spans="2:8" x14ac:dyDescent="0.35">
      <c r="B16" s="59" t="s">
        <v>403</v>
      </c>
      <c r="H16" s="61" t="str">
        <f>B16</f>
        <v># Durchschnittliche Brutto-Auslastung oder Belegung während der Ausführung der zu untersuchenden Software (Load_av_SW_gross)</v>
      </c>
    </row>
    <row r="18" spans="2:8" x14ac:dyDescent="0.35">
      <c r="B18" t="s">
        <v>404</v>
      </c>
      <c r="C18" s="93">
        <v>0.2</v>
      </c>
      <c r="D18" t="s">
        <v>538</v>
      </c>
      <c r="H18" s="61" t="str">
        <f>IF(B18&lt;&gt;"",B18&amp;" = "&amp;SUBSTITUTE(C18,",",".")&amp;" # "&amp;D18,"")</f>
        <v>Load_av_SW_gross_CPU = 0.2 # [0...1] (input)</v>
      </c>
    </row>
    <row r="19" spans="2:8" x14ac:dyDescent="0.35">
      <c r="B19" t="s">
        <v>405</v>
      </c>
      <c r="C19" s="93">
        <v>0</v>
      </c>
      <c r="D19" t="s">
        <v>538</v>
      </c>
      <c r="E19" t="s">
        <v>540</v>
      </c>
      <c r="H19" s="61" t="str">
        <f>IF(B19&lt;&gt;"",B19&amp;" = "&amp;SUBSTITUTE(C19,",",".")&amp;" # "&amp;D19&amp;" "&amp;E19,"")</f>
        <v>Load_av_SW_gross_GPU = 0 # [0...1] (input) Achtung, GPU derzeit ignoriert</v>
      </c>
    </row>
    <row r="20" spans="2:8" x14ac:dyDescent="0.35">
      <c r="B20" t="s">
        <v>406</v>
      </c>
      <c r="C20" s="93">
        <v>0.1</v>
      </c>
      <c r="D20" t="s">
        <v>538</v>
      </c>
      <c r="H20" s="61" t="str">
        <f>IF(B20&lt;&gt;"",B20&amp;" = "&amp;SUBSTITUTE(C20,",",".")&amp;" # "&amp;D20,"")</f>
        <v>Load_av_SW_gross_RAM = 0.1 # [0...1] (input)</v>
      </c>
    </row>
    <row r="21" spans="2:8" x14ac:dyDescent="0.35">
      <c r="B21" t="s">
        <v>407</v>
      </c>
      <c r="C21" s="93">
        <v>0.5</v>
      </c>
      <c r="D21" t="s">
        <v>538</v>
      </c>
      <c r="H21" s="61" t="str">
        <f>IF(B21&lt;&gt;"",B21&amp;" = "&amp;SUBSTITUTE(C21,",",".")&amp;" # "&amp;D21,"")</f>
        <v>Load_av_SW_gross_SSDHDD = 0.5 # [0...1] (input)</v>
      </c>
    </row>
    <row r="22" spans="2:8" x14ac:dyDescent="0.35">
      <c r="B22" t="s">
        <v>408</v>
      </c>
      <c r="C22" s="93">
        <v>0.02</v>
      </c>
      <c r="D22" t="s">
        <v>538</v>
      </c>
      <c r="H22" s="61" t="str">
        <f>IF(B22&lt;&gt;"",B22&amp;" = "&amp;SUBSTITUTE(C22,",",".")&amp;" # "&amp;D22,"")</f>
        <v>Load_av_SW_gross_NW = 0.02 # [0...1] (input)</v>
      </c>
    </row>
    <row r="24" spans="2:8" x14ac:dyDescent="0.35">
      <c r="B24" s="59" t="s">
        <v>409</v>
      </c>
      <c r="H24" s="61" t="str">
        <f>B24</f>
        <v># Durchschnittliche Netto-Auslastung oder Belegung während der Ausführung der zu untersuchenden Software (Load_av_SW_net)</v>
      </c>
    </row>
    <row r="26" spans="2:8" x14ac:dyDescent="0.35">
      <c r="B26" t="s">
        <v>410</v>
      </c>
      <c r="C26" s="56">
        <f xml:space="preserve"> Load_av_SW_gross_CPU - Load_idle_CPU</f>
        <v>0.1</v>
      </c>
      <c r="D26" t="s">
        <v>417</v>
      </c>
      <c r="H26" s="61" t="str">
        <f ca="1">IF(AND(B26&lt;&gt;"",C26&lt;&gt;""),B26&amp;" "&amp;_xlfn.FORMULATEXT(C26)&amp;" # "&amp;D26,"")</f>
        <v>Load_av_SW_net_CPU = Load_av_SW_gross_CPU - Load_idle_CPU # [0...1]</v>
      </c>
    </row>
    <row r="27" spans="2:8" x14ac:dyDescent="0.35">
      <c r="B27" t="s">
        <v>411</v>
      </c>
      <c r="C27" s="56">
        <f xml:space="preserve"> Load_av_SW_gross_GPU - Load_idle_GPU</f>
        <v>0</v>
      </c>
      <c r="D27" t="s">
        <v>417</v>
      </c>
      <c r="E27" t="s">
        <v>540</v>
      </c>
      <c r="H27" s="61" t="str">
        <f ca="1">IF(AND(B27&lt;&gt;"",C27&lt;&gt;""),B27&amp;" "&amp;_xlfn.FORMULATEXT(C27)&amp;" # "&amp;D27&amp;" "&amp;E27,"")</f>
        <v>Load_av_SW_net_GPU = Load_av_SW_gross_GPU - Load_idle_GPU # [0...1] Achtung, GPU derzeit ignoriert</v>
      </c>
    </row>
    <row r="28" spans="2:8" x14ac:dyDescent="0.35">
      <c r="B28" t="s">
        <v>412</v>
      </c>
      <c r="C28" s="56">
        <f xml:space="preserve"> Load_av_SW_gross_RAM - Load_idle_RAM</f>
        <v>0.05</v>
      </c>
      <c r="D28" t="s">
        <v>417</v>
      </c>
      <c r="H28" s="61" t="str">
        <f ca="1">IF(AND(B28&lt;&gt;"",C28&lt;&gt;""),B28&amp;" "&amp;_xlfn.FORMULATEXT(C28)&amp;" # "&amp;D28,"")</f>
        <v>Load_av_SW_net_RAM = Load_av_SW_gross_RAM - Load_idle_RAM # [0...1]</v>
      </c>
    </row>
    <row r="29" spans="2:8" x14ac:dyDescent="0.35">
      <c r="B29" t="s">
        <v>413</v>
      </c>
      <c r="C29" s="56">
        <f xml:space="preserve"> Load_av_SW_gross_SSDHDD - Load_idle_SSDHDD</f>
        <v>0.25</v>
      </c>
      <c r="D29" t="s">
        <v>417</v>
      </c>
      <c r="H29" s="61" t="str">
        <f ca="1">IF(AND(B29&lt;&gt;"",C29&lt;&gt;""),B29&amp;" "&amp;_xlfn.FORMULATEXT(C29)&amp;" # "&amp;D29,"")</f>
        <v>Load_av_SW_net_SSDHDD = Load_av_SW_gross_SSDHDD - Load_idle_SSDHDD # [0...1]</v>
      </c>
    </row>
    <row r="30" spans="2:8" x14ac:dyDescent="0.35">
      <c r="B30" t="s">
        <v>414</v>
      </c>
      <c r="C30" s="56">
        <f xml:space="preserve"> Load_av_SW_gross_NW - Load_idle_NW</f>
        <v>0.01</v>
      </c>
      <c r="D30" t="s">
        <v>417</v>
      </c>
      <c r="H30" s="61" t="str">
        <f ca="1">IF(AND(B30&lt;&gt;"",C30&lt;&gt;""),B30&amp;" "&amp;_xlfn.FORMULATEXT(C30)&amp;" # "&amp;D30,"")</f>
        <v>Load_av_SW_net_NW = Load_av_SW_gross_NW - Load_idle_NW # [0...1]</v>
      </c>
    </row>
    <row r="32" spans="2:8" x14ac:dyDescent="0.35">
      <c r="B32" s="59" t="s">
        <v>418</v>
      </c>
      <c r="H32" s="61" t="str">
        <f>B32</f>
        <v># Digitale Arbeit (DW = Load_average_net * DBR * time_execution)</v>
      </c>
    </row>
    <row r="34" spans="2:8" x14ac:dyDescent="0.35">
      <c r="B34" t="s">
        <v>420</v>
      </c>
      <c r="C34" s="58">
        <f xml:space="preserve"> Load_av_SW_net_CPU * DBR_CPU * time_execution</f>
        <v>1105920</v>
      </c>
      <c r="D34" t="str">
        <f>DBR_CPU_unit&amp;"*s (alternative input)"</f>
        <v>GHz*bit (input)*s (alternative input)</v>
      </c>
      <c r="E34" t="s">
        <v>279</v>
      </c>
      <c r="H34" s="61" t="str">
        <f ca="1">IF(AND(B34&lt;&gt;"",C34&lt;&gt;""),B34&amp;" "&amp;_xlfn.FORMULATEXT(C34)&amp;" # "&amp;D34,"")</f>
        <v>DW_SW_co = Load_av_SW_net_CPU * DBR_CPU * time_execution # GHz*bit (input)*s (alternative input)</v>
      </c>
    </row>
    <row r="35" spans="2:8" x14ac:dyDescent="0.35">
      <c r="B35" t="s">
        <v>421</v>
      </c>
      <c r="C35" s="58">
        <f xml:space="preserve"> Load_av_SW_net_RAM * DBR_RAM * time_execution</f>
        <v>34560</v>
      </c>
      <c r="D35" t="str">
        <f>DBR_RAM_unit&amp;"*s (alternative input)"</f>
        <v>Gigabyte (input)*s (alternative input)</v>
      </c>
      <c r="H35" s="61" t="str">
        <f ca="1">IF(AND(B35&lt;&gt;"",C35&lt;&gt;""),B35&amp;" "&amp;_xlfn.FORMULATEXT(C35)&amp;" # "&amp;D35,"")</f>
        <v>DW_SW_me = Load_av_SW_net_RAM * DBR_RAM * time_execution # Gigabyte (input)*s (alternative input)</v>
      </c>
    </row>
    <row r="36" spans="2:8" x14ac:dyDescent="0.35">
      <c r="B36" t="s">
        <v>422</v>
      </c>
      <c r="C36" s="58">
        <f xml:space="preserve"> Load_av_SW_net_SSDHDD * DBR_SSDHDD * time_execution</f>
        <v>86400000</v>
      </c>
      <c r="D36" t="str">
        <f>DBR_SSDHDD_unit&amp;"*s (alternative input)"</f>
        <v>Gigabyte (input)*s (alternative input)</v>
      </c>
      <c r="H36" s="61" t="str">
        <f ca="1">IF(AND(B36&lt;&gt;"",C36&lt;&gt;""),B36&amp;" "&amp;_xlfn.FORMULATEXT(C36)&amp;" # "&amp;D36,"")</f>
        <v>DW_SW_st = Load_av_SW_net_SSDHDD * DBR_SSDHDD * time_execution # Gigabyte (input)*s (alternative input)</v>
      </c>
    </row>
    <row r="37" spans="2:8" x14ac:dyDescent="0.35">
      <c r="B37" t="s">
        <v>423</v>
      </c>
      <c r="C37" s="58">
        <f xml:space="preserve"> Load_av_SW_net_NW * DBR_NW * time_execution</f>
        <v>86400</v>
      </c>
      <c r="D37" t="str">
        <f>DBR_CPU_unit&amp;"*s (alternative input)"</f>
        <v>GHz*bit (input)*s (alternative input)</v>
      </c>
      <c r="H37" s="61" t="str">
        <f ca="1">IF(AND(B37&lt;&gt;"",C37&lt;&gt;""),B37&amp;" "&amp;_xlfn.FORMULATEXT(C37)&amp;" # "&amp;D37,"")</f>
        <v>DW_SW_tr = Load_av_SW_net_NW * DBR_NW * time_execution # GHz*bit (input)*s (alternative input)</v>
      </c>
    </row>
    <row r="38" spans="2:8" x14ac:dyDescent="0.35">
      <c r="C38" s="58"/>
      <c r="H38" s="61"/>
    </row>
    <row r="39" spans="2:8" x14ac:dyDescent="0.35">
      <c r="B39" s="59" t="s">
        <v>478</v>
      </c>
      <c r="C39" s="58"/>
      <c r="H39" s="61" t="str">
        <f>B39</f>
        <v># Umweltwirkungen der Software, anteiliger Herstellungsaufwand (Environmantal Impact EI_embedded)</v>
      </c>
    </row>
    <row r="41" spans="2:8" ht="40.9" customHeight="1" x14ac:dyDescent="0.35"/>
    <row r="43" spans="2:8" x14ac:dyDescent="0.35">
      <c r="B43" t="s">
        <v>447</v>
      </c>
      <c r="C43" s="58">
        <f xml:space="preserve"> DW_SW_co * EBR_CED_co</f>
        <v>0.40287421084419872</v>
      </c>
      <c r="D43" t="s">
        <v>129</v>
      </c>
      <c r="H43" s="61" t="str">
        <f t="shared" ref="H43:H71" ca="1" si="0">IF(AND(B43&lt;&gt;"",C43&lt;&gt;""),B43&amp;" "&amp;_xlfn.FORMULATEXT(C43)&amp;" # "&amp;D43,"")</f>
        <v>EI_CED_co_embedded = DW_SW_co * EBR_CED_co # MJ</v>
      </c>
    </row>
    <row r="44" spans="2:8" x14ac:dyDescent="0.35">
      <c r="B44" t="s">
        <v>453</v>
      </c>
      <c r="C44" s="58">
        <f xml:space="preserve"> DW_SW_me * EBR_CED_me</f>
        <v>0.69169496973483169</v>
      </c>
      <c r="D44" t="s">
        <v>129</v>
      </c>
      <c r="H44" s="61" t="str">
        <f t="shared" ca="1" si="0"/>
        <v>EI_CED_me_embedded = DW_SW_me * EBR_CED_me # MJ</v>
      </c>
    </row>
    <row r="45" spans="2:8" x14ac:dyDescent="0.35">
      <c r="B45" t="s">
        <v>459</v>
      </c>
      <c r="C45" s="58">
        <f xml:space="preserve"> DW_SW_st * EBR_CED_st</f>
        <v>0.89544865644831184</v>
      </c>
      <c r="D45" t="s">
        <v>129</v>
      </c>
      <c r="H45" s="61" t="str">
        <f t="shared" ca="1" si="0"/>
        <v>EI_CED_st_embedded = DW_SW_st * EBR_CED_st # MJ</v>
      </c>
    </row>
    <row r="46" spans="2:8" x14ac:dyDescent="0.35">
      <c r="B46" t="s">
        <v>465</v>
      </c>
      <c r="C46" s="58">
        <f xml:space="preserve"> DW_SW_tr * EBR_CED_tr</f>
        <v>0.10098780267128789</v>
      </c>
      <c r="D46" t="s">
        <v>129</v>
      </c>
      <c r="H46" s="61" t="str">
        <f t="shared" ca="1" si="0"/>
        <v>EI_CED_tr_embedded = DW_SW_tr * EBR_CED_tr # MJ</v>
      </c>
    </row>
    <row r="47" spans="2:8" x14ac:dyDescent="0.35">
      <c r="C47" s="58"/>
      <c r="H47" s="61" t="str">
        <f t="shared" ca="1" si="0"/>
        <v/>
      </c>
    </row>
    <row r="48" spans="2:8" x14ac:dyDescent="0.35">
      <c r="B48" t="s">
        <v>448</v>
      </c>
      <c r="C48" s="58">
        <f xml:space="preserve"> DW_SW_co * EBR_GWP_co</f>
        <v>2.8172195910151451E-2</v>
      </c>
      <c r="D48" t="str">
        <f>"kg CO2 eq"</f>
        <v>kg CO2 eq</v>
      </c>
      <c r="F48" s="51"/>
      <c r="H48" s="61" t="str">
        <f t="shared" ca="1" si="0"/>
        <v>EI_GWP_co_embedded = DW_SW_co * EBR_GWP_co # kg CO2 eq</v>
      </c>
    </row>
    <row r="49" spans="2:8" x14ac:dyDescent="0.35">
      <c r="B49" t="s">
        <v>454</v>
      </c>
      <c r="C49" s="58">
        <f xml:space="preserve"> DW_SW_me * EBR_GWP_me</f>
        <v>5.3403771347968934E-2</v>
      </c>
      <c r="D49" t="str">
        <f t="shared" ref="D49:D51" si="1">"kg CO2 eq"</f>
        <v>kg CO2 eq</v>
      </c>
      <c r="H49" s="61" t="str">
        <f t="shared" ca="1" si="0"/>
        <v>EI_GWP_me_embedded = DW_SW_me * EBR_GWP_me # kg CO2 eq</v>
      </c>
    </row>
    <row r="50" spans="2:8" x14ac:dyDescent="0.35">
      <c r="B50" t="s">
        <v>460</v>
      </c>
      <c r="C50" s="58">
        <f xml:space="preserve"> DW_SW_st * EBR_GWP_st</f>
        <v>7.1033544062713103E-2</v>
      </c>
      <c r="D50" t="str">
        <f t="shared" si="1"/>
        <v>kg CO2 eq</v>
      </c>
      <c r="H50" s="61" t="str">
        <f t="shared" ca="1" si="0"/>
        <v>EI_GWP_st_embedded = DW_SW_st * EBR_GWP_st # kg CO2 eq</v>
      </c>
    </row>
    <row r="51" spans="2:8" x14ac:dyDescent="0.35">
      <c r="B51" t="s">
        <v>466</v>
      </c>
      <c r="C51" s="58">
        <f xml:space="preserve"> DW_SW_tr * EBR_GWP_tr</f>
        <v>7.8552872497144252E-3</v>
      </c>
      <c r="D51" t="str">
        <f t="shared" si="1"/>
        <v>kg CO2 eq</v>
      </c>
      <c r="H51" s="61" t="str">
        <f t="shared" ca="1" si="0"/>
        <v>EI_GWP_tr_embedded = DW_SW_tr * EBR_GWP_tr # kg CO2 eq</v>
      </c>
    </row>
    <row r="52" spans="2:8" x14ac:dyDescent="0.35">
      <c r="C52" s="58"/>
      <c r="H52" s="61" t="str">
        <f t="shared" ca="1" si="0"/>
        <v/>
      </c>
    </row>
    <row r="53" spans="2:8" x14ac:dyDescent="0.35">
      <c r="B53" t="s">
        <v>449</v>
      </c>
      <c r="C53" s="58">
        <f xml:space="preserve"> DW_SW_co * EBR_ADP_co</f>
        <v>2.3429784596876535E-5</v>
      </c>
      <c r="D53" t="str">
        <f>"kg Sb eq"</f>
        <v>kg Sb eq</v>
      </c>
      <c r="H53" s="61" t="str">
        <f t="shared" ca="1" si="0"/>
        <v>EI_ADP_co_embedded = DW_SW_co * EBR_ADP_co # kg Sb eq</v>
      </c>
    </row>
    <row r="54" spans="2:8" x14ac:dyDescent="0.35">
      <c r="B54" t="s">
        <v>455</v>
      </c>
      <c r="C54" s="58">
        <f xml:space="preserve"> DW_SW_me * EBR_ADP_me</f>
        <v>4.933029848095463E-6</v>
      </c>
      <c r="D54" t="str">
        <f t="shared" ref="D54:D56" si="2">"kg Sb eq"</f>
        <v>kg Sb eq</v>
      </c>
      <c r="H54" s="61" t="str">
        <f t="shared" ca="1" si="0"/>
        <v>EI_ADP_me_embedded = DW_SW_me * EBR_ADP_me # kg Sb eq</v>
      </c>
    </row>
    <row r="55" spans="2:8" x14ac:dyDescent="0.35">
      <c r="B55" t="s">
        <v>461</v>
      </c>
      <c r="C55" s="58">
        <f xml:space="preserve"> DW_SW_st * EBR_ADP_st</f>
        <v>2.9682581255589605E-6</v>
      </c>
      <c r="D55" t="str">
        <f t="shared" si="2"/>
        <v>kg Sb eq</v>
      </c>
      <c r="H55" s="61" t="str">
        <f t="shared" ca="1" si="0"/>
        <v>EI_ADP_st_embedded = DW_SW_st * EBR_ADP_st # kg Sb eq</v>
      </c>
    </row>
    <row r="56" spans="2:8" x14ac:dyDescent="0.35">
      <c r="B56" t="s">
        <v>467</v>
      </c>
      <c r="C56" s="58">
        <f xml:space="preserve"> DW_SW_tr * EBR_ADP_tr</f>
        <v>6.8975320686630255E-7</v>
      </c>
      <c r="D56" t="str">
        <f t="shared" si="2"/>
        <v>kg Sb eq</v>
      </c>
      <c r="H56" s="61" t="str">
        <f t="shared" ca="1" si="0"/>
        <v>EI_ADP_tr_embedded = DW_SW_tr * EBR_ADP_tr # kg Sb eq</v>
      </c>
    </row>
    <row r="57" spans="2:8" x14ac:dyDescent="0.35">
      <c r="C57" s="58"/>
      <c r="H57" s="61" t="str">
        <f t="shared" ca="1" si="0"/>
        <v/>
      </c>
    </row>
    <row r="58" spans="2:8" x14ac:dyDescent="0.35">
      <c r="B58" t="s">
        <v>450</v>
      </c>
      <c r="C58" s="58">
        <f xml:space="preserve"> DW_SW_co * EBR_Water_co</f>
        <v>7.7570226791011743E-3</v>
      </c>
      <c r="D58" t="str">
        <f>"m³ World eq"</f>
        <v>m³ World eq</v>
      </c>
      <c r="H58" s="61" t="str">
        <f t="shared" ca="1" si="0"/>
        <v>EI_Water_co_embedded = DW_SW_co * EBR_Water_co # m³ World eq</v>
      </c>
    </row>
    <row r="59" spans="2:8" x14ac:dyDescent="0.35">
      <c r="B59" t="s">
        <v>456</v>
      </c>
      <c r="C59" s="58">
        <f xml:space="preserve"> DW_SW_me * EBR_Water_me</f>
        <v>1.8168657950047948E-2</v>
      </c>
      <c r="D59" t="str">
        <f t="shared" ref="D59:D61" si="3">"m³ World eq"</f>
        <v>m³ World eq</v>
      </c>
      <c r="H59" s="61" t="str">
        <f t="shared" ca="1" si="0"/>
        <v>EI_Water_me_embedded = DW_SW_me * EBR_Water_me # m³ World eq</v>
      </c>
    </row>
    <row r="60" spans="2:8" x14ac:dyDescent="0.35">
      <c r="B60" t="s">
        <v>462</v>
      </c>
      <c r="C60" s="58">
        <f xml:space="preserve"> DW_SW_st * EBR_Water_st</f>
        <v>3.0878445652297821E-2</v>
      </c>
      <c r="D60" t="str">
        <f t="shared" si="3"/>
        <v>m³ World eq</v>
      </c>
      <c r="H60" s="61" t="str">
        <f t="shared" ca="1" si="0"/>
        <v>EI_Water_st_embedded = DW_SW_st * EBR_Water_st # m³ World eq</v>
      </c>
    </row>
    <row r="61" spans="2:8" x14ac:dyDescent="0.35">
      <c r="B61" t="s">
        <v>468</v>
      </c>
      <c r="C61" s="58">
        <f xml:space="preserve"> DW_SW_tr * EBR_Water_tr</f>
        <v>3.7891546743749798E-3</v>
      </c>
      <c r="D61" t="str">
        <f t="shared" si="3"/>
        <v>m³ World eq</v>
      </c>
      <c r="H61" s="61" t="str">
        <f t="shared" ca="1" si="0"/>
        <v>EI_Water_tr_embedded = DW_SW_tr * EBR_Water_tr # m³ World eq</v>
      </c>
    </row>
    <row r="62" spans="2:8" x14ac:dyDescent="0.35">
      <c r="C62" s="58"/>
      <c r="H62" s="61" t="str">
        <f t="shared" ca="1" si="0"/>
        <v/>
      </c>
    </row>
    <row r="63" spans="2:8" x14ac:dyDescent="0.35">
      <c r="B63" t="s">
        <v>451</v>
      </c>
      <c r="C63" s="58">
        <f xml:space="preserve"> DW_SW_co * EBR_WEEE_co</f>
        <v>9.7847358121330719E-4</v>
      </c>
      <c r="D63" t="str">
        <f>"kg WEEE"</f>
        <v>kg WEEE</v>
      </c>
      <c r="H63" s="61" t="str">
        <f t="shared" ca="1" si="0"/>
        <v>EI_WEEE_co_embedded = DW_SW_co * EBR_WEEE_co # kg WEEE</v>
      </c>
    </row>
    <row r="64" spans="2:8" x14ac:dyDescent="0.35">
      <c r="B64" t="s">
        <v>457</v>
      </c>
      <c r="C64" s="58">
        <f xml:space="preserve"> DW_SW_me * EBR_WEEE_me</f>
        <v>4.8923679060665359E-4</v>
      </c>
      <c r="D64" t="str">
        <f t="shared" ref="D64:D66" si="4">"kg WEEE"</f>
        <v>kg WEEE</v>
      </c>
      <c r="H64" s="61" t="str">
        <f t="shared" ca="1" si="0"/>
        <v>EI_WEEE_me_embedded = DW_SW_me * EBR_WEEE_me # kg WEEE</v>
      </c>
    </row>
    <row r="65" spans="2:8" x14ac:dyDescent="0.35">
      <c r="B65" t="s">
        <v>463</v>
      </c>
      <c r="C65" s="58">
        <f xml:space="preserve"> DW_SW_st * EBR_WEEE_st</f>
        <v>4.8923679060665359E-3</v>
      </c>
      <c r="D65" t="str">
        <f t="shared" si="4"/>
        <v>kg WEEE</v>
      </c>
      <c r="H65" s="61" t="str">
        <f t="shared" ca="1" si="0"/>
        <v>EI_WEEE_st_embedded = DW_SW_st * EBR_WEEE_st # kg WEEE</v>
      </c>
    </row>
    <row r="66" spans="2:8" x14ac:dyDescent="0.35">
      <c r="B66" t="s">
        <v>469</v>
      </c>
      <c r="C66" s="58">
        <f xml:space="preserve"> DW_SW_tr * EBR_WEEE_tr</f>
        <v>4.8923679060665359E-4</v>
      </c>
      <c r="D66" t="str">
        <f t="shared" si="4"/>
        <v>kg WEEE</v>
      </c>
      <c r="H66" s="61" t="str">
        <f t="shared" ca="1" si="0"/>
        <v>EI_WEEE_tr_embedded = DW_SW_tr * EBR_WEEE_tr # kg WEEE</v>
      </c>
    </row>
    <row r="67" spans="2:8" x14ac:dyDescent="0.35">
      <c r="C67" s="58"/>
      <c r="H67" s="61" t="str">
        <f t="shared" ca="1" si="0"/>
        <v/>
      </c>
    </row>
    <row r="68" spans="2:8" x14ac:dyDescent="0.35">
      <c r="B68" t="s">
        <v>452</v>
      </c>
      <c r="C68" s="58">
        <f xml:space="preserve"> DW_SW_co * EBR_TOX_co</f>
        <v>1.1415525114155251E-4</v>
      </c>
      <c r="D68" t="str">
        <f>"kg MEG eq"</f>
        <v>kg MEG eq</v>
      </c>
      <c r="H68" s="61" t="str">
        <f t="shared" ca="1" si="0"/>
        <v>EI_TOX_co_embedded = DW_SW_co * EBR_TOX_co # kg MEG eq</v>
      </c>
    </row>
    <row r="69" spans="2:8" x14ac:dyDescent="0.35">
      <c r="B69" t="s">
        <v>458</v>
      </c>
      <c r="C69" s="58">
        <f xml:space="preserve"> DW_SW_me * EBR_TOX_me</f>
        <v>5.7077625570776254E-5</v>
      </c>
      <c r="D69" t="str">
        <f t="shared" ref="D69:D71" si="5">"kg MEG eq"</f>
        <v>kg MEG eq</v>
      </c>
      <c r="H69" s="61" t="str">
        <f t="shared" ca="1" si="0"/>
        <v>EI_TOX_me_embedded = DW_SW_me * EBR_TOX_me # kg MEG eq</v>
      </c>
    </row>
    <row r="70" spans="2:8" x14ac:dyDescent="0.35">
      <c r="B70" t="s">
        <v>464</v>
      </c>
      <c r="C70" s="58">
        <f xml:space="preserve"> DW_SW_st * EBR_TOX_st</f>
        <v>1.1415525114155249E-4</v>
      </c>
      <c r="D70" t="str">
        <f t="shared" si="5"/>
        <v>kg MEG eq</v>
      </c>
      <c r="H70" s="61" t="str">
        <f t="shared" ca="1" si="0"/>
        <v>EI_TOX_st_embedded = DW_SW_st * EBR_TOX_st # kg MEG eq</v>
      </c>
    </row>
    <row r="71" spans="2:8" x14ac:dyDescent="0.35">
      <c r="B71" t="s">
        <v>470</v>
      </c>
      <c r="C71" s="58">
        <f xml:space="preserve"> DW_SW_tr * EBR_TOX_tr</f>
        <v>5.7077625570776247E-5</v>
      </c>
      <c r="D71" t="str">
        <f t="shared" si="5"/>
        <v>kg MEG eq</v>
      </c>
      <c r="H71" s="61" t="str">
        <f t="shared" ca="1" si="0"/>
        <v>EI_TOX_tr_embedded = DW_SW_tr * EBR_TOX_tr # kg MEG eq</v>
      </c>
    </row>
    <row r="72" spans="2:8" x14ac:dyDescent="0.35">
      <c r="C72" s="58"/>
    </row>
    <row r="73" spans="2:8" x14ac:dyDescent="0.35">
      <c r="B73" s="59" t="s">
        <v>477</v>
      </c>
      <c r="H73" s="61" t="str">
        <f>B73</f>
        <v># Energieverbrauch der Software bei der Ausführung</v>
      </c>
    </row>
    <row r="75" spans="2:8" ht="34.9" customHeight="1" x14ac:dyDescent="0.35"/>
    <row r="77" spans="2:8" x14ac:dyDescent="0.35">
      <c r="B77" t="s">
        <v>471</v>
      </c>
      <c r="C77" s="58">
        <f xml:space="preserve"> DW_SW_co * EBR_P_co / 1000 / 3600</f>
        <v>1.3172617449664428</v>
      </c>
      <c r="D77" t="s">
        <v>475</v>
      </c>
      <c r="H77" s="61" t="str">
        <f ca="1">IF(AND(B77&lt;&gt;"",C77&lt;&gt;""),B77&amp;" "&amp;_xlfn.FORMULATEXT(C77)&amp;" # "&amp;D77,"")</f>
        <v>E_co = DW_SW_co * EBR_P_co / 1000 / 3600 # kWh</v>
      </c>
    </row>
    <row r="78" spans="2:8" x14ac:dyDescent="0.35">
      <c r="B78" t="s">
        <v>472</v>
      </c>
      <c r="C78" s="58">
        <f xml:space="preserve"> DW_SW_me * EBR_P_me / 1000 / 3600</f>
        <v>0.28026845637583891</v>
      </c>
      <c r="D78" t="s">
        <v>475</v>
      </c>
      <c r="H78" s="61" t="str">
        <f ca="1">IF(AND(B78&lt;&gt;"",C78&lt;&gt;""),B78&amp;" "&amp;_xlfn.FORMULATEXT(C78)&amp;" # "&amp;D78,"")</f>
        <v>E_me = DW_SW_me * EBR_P_me / 1000 / 3600 # kWh</v>
      </c>
    </row>
    <row r="79" spans="2:8" x14ac:dyDescent="0.35">
      <c r="B79" t="s">
        <v>473</v>
      </c>
      <c r="C79" s="58">
        <f xml:space="preserve"> DW_SW_st * EBR_P_st / 1000 / 3600</f>
        <v>0.42040268456375834</v>
      </c>
      <c r="D79" t="s">
        <v>475</v>
      </c>
      <c r="H79" s="61" t="str">
        <f ca="1">IF(AND(B79&lt;&gt;"",C79&lt;&gt;""),B79&amp;" "&amp;_xlfn.FORMULATEXT(C79)&amp;" # "&amp;D79,"")</f>
        <v>E_st = DW_SW_st * EBR_P_st / 1000 / 3600 # kWh</v>
      </c>
    </row>
    <row r="80" spans="2:8" x14ac:dyDescent="0.35">
      <c r="B80" t="s">
        <v>474</v>
      </c>
      <c r="C80" s="58">
        <f xml:space="preserve"> DW_SW_tr * EBR_P_tr / 1000 / 3600</f>
        <v>7.0067114093959729E-2</v>
      </c>
      <c r="D80" t="s">
        <v>475</v>
      </c>
      <c r="H80" s="61" t="str">
        <f ca="1">IF(AND(B80&lt;&gt;"",C80&lt;&gt;""),B80&amp;" "&amp;_xlfn.FORMULATEXT(C80)&amp;" # "&amp;D80,"")</f>
        <v>E_tr = DW_SW_tr * EBR_P_tr / 1000 / 3600 # kWh</v>
      </c>
    </row>
    <row r="82" spans="2:8" x14ac:dyDescent="0.35">
      <c r="B82" s="59" t="s">
        <v>476</v>
      </c>
      <c r="H82" s="61" t="str">
        <f>B82</f>
        <v># Umweltwirkung der Software bei der Ausführung durch Stromverbrauch</v>
      </c>
    </row>
    <row r="83" spans="2:8" x14ac:dyDescent="0.35">
      <c r="B83" s="59"/>
    </row>
    <row r="84" spans="2:8" x14ac:dyDescent="0.35">
      <c r="B84" s="59"/>
    </row>
    <row r="85" spans="2:8" ht="15.5" x14ac:dyDescent="0.35">
      <c r="B85" s="10" t="s">
        <v>488</v>
      </c>
    </row>
    <row r="86" spans="2:8" x14ac:dyDescent="0.35">
      <c r="B86" s="59"/>
    </row>
    <row r="87" spans="2:8" ht="26" x14ac:dyDescent="0.35">
      <c r="B87" s="107" t="s">
        <v>59</v>
      </c>
      <c r="C87" s="108" t="s">
        <v>479</v>
      </c>
      <c r="D87" s="108" t="s">
        <v>480</v>
      </c>
      <c r="E87" s="108" t="s">
        <v>6</v>
      </c>
    </row>
    <row r="88" spans="2:8" ht="26.5" thickBot="1" x14ac:dyDescent="0.4">
      <c r="B88" s="22"/>
      <c r="C88" s="21"/>
      <c r="D88" s="21" t="s">
        <v>481</v>
      </c>
      <c r="E88" s="21"/>
    </row>
    <row r="89" spans="2:8" ht="16.5" thickTop="1" thickBot="1" x14ac:dyDescent="0.4">
      <c r="B89" s="19" t="s">
        <v>60</v>
      </c>
      <c r="C89" s="20" t="s">
        <v>489</v>
      </c>
      <c r="D89" s="20">
        <v>8.3699999999999992</v>
      </c>
      <c r="E89" s="20" t="s">
        <v>482</v>
      </c>
    </row>
    <row r="90" spans="2:8" ht="16" thickBot="1" x14ac:dyDescent="0.4">
      <c r="B90" s="19" t="s">
        <v>61</v>
      </c>
      <c r="C90" s="20" t="s">
        <v>490</v>
      </c>
      <c r="D90" s="20">
        <v>0.42099999999999999</v>
      </c>
      <c r="E90" s="20" t="s">
        <v>483</v>
      </c>
    </row>
    <row r="91" spans="2:8" ht="16" thickBot="1" x14ac:dyDescent="0.4">
      <c r="B91" s="19" t="s">
        <v>62</v>
      </c>
      <c r="C91" s="20" t="s">
        <v>491</v>
      </c>
      <c r="D91" s="112">
        <v>5.2399999999999998E-6</v>
      </c>
      <c r="E91" s="20" t="s">
        <v>484</v>
      </c>
    </row>
    <row r="92" spans="2:8" ht="16" thickBot="1" x14ac:dyDescent="0.4">
      <c r="B92" s="19" t="s">
        <v>63</v>
      </c>
      <c r="C92" s="20" t="s">
        <v>492</v>
      </c>
      <c r="D92" s="20">
        <v>0.23899999999999999</v>
      </c>
      <c r="E92" s="20" t="s">
        <v>485</v>
      </c>
    </row>
    <row r="93" spans="2:8" ht="16" thickBot="1" x14ac:dyDescent="0.4">
      <c r="B93" s="19" t="s">
        <v>64</v>
      </c>
      <c r="C93" s="20" t="s">
        <v>493</v>
      </c>
      <c r="D93" s="128">
        <v>0</v>
      </c>
      <c r="E93" s="20" t="s">
        <v>486</v>
      </c>
      <c r="F93" s="129" t="s">
        <v>560</v>
      </c>
    </row>
    <row r="94" spans="2:8" ht="16" thickBot="1" x14ac:dyDescent="0.4">
      <c r="B94" s="19" t="s">
        <v>65</v>
      </c>
      <c r="C94" s="20" t="s">
        <v>494</v>
      </c>
      <c r="D94" s="128">
        <v>0</v>
      </c>
      <c r="E94" s="20" t="s">
        <v>487</v>
      </c>
      <c r="F94" s="129" t="s">
        <v>560</v>
      </c>
    </row>
    <row r="96" spans="2:8" x14ac:dyDescent="0.35">
      <c r="B96" s="109" t="s">
        <v>495</v>
      </c>
      <c r="H96" s="61" t="str">
        <f>B96</f>
        <v># Emissionsfaktoren für elektrische Energie</v>
      </c>
    </row>
    <row r="97" spans="2:8" s="110" customFormat="1" x14ac:dyDescent="0.35"/>
    <row r="98" spans="2:8" s="110" customFormat="1" x14ac:dyDescent="0.35">
      <c r="B98" s="110" t="s">
        <v>496</v>
      </c>
      <c r="C98" s="110">
        <f xml:space="preserve"> CED_el</f>
        <v>8.3699999999999992</v>
      </c>
      <c r="D98" s="110" t="str">
        <f>E89</f>
        <v>[MJ/kWhel]</v>
      </c>
      <c r="H98" s="61" t="str">
        <f>IF(B98&lt;&gt;"",B98&amp;" = "&amp;SUBSTITUTE(C98,",",".")&amp;" # "&amp;D98,"")</f>
        <v>EF_CED = 8.37 # [MJ/kWhel]</v>
      </c>
    </row>
    <row r="99" spans="2:8" s="110" customFormat="1" x14ac:dyDescent="0.35">
      <c r="B99" s="110" t="s">
        <v>497</v>
      </c>
      <c r="C99" s="110">
        <f xml:space="preserve"> GWP_el</f>
        <v>0.42099999999999999</v>
      </c>
      <c r="D99" s="110" t="str">
        <f t="shared" ref="D99:D103" si="6">E90</f>
        <v>[kg CO2e/kWhel]</v>
      </c>
      <c r="H99" s="61" t="str">
        <f t="shared" ref="H99:H103" si="7">IF(B99&lt;&gt;"",B99&amp;" = "&amp;SUBSTITUTE(C99,",",".")&amp;" # "&amp;D99,"")</f>
        <v>EF_GWP = 0.421 # [kg CO2e/kWhel]</v>
      </c>
    </row>
    <row r="100" spans="2:8" s="110" customFormat="1" x14ac:dyDescent="0.35">
      <c r="B100" s="110" t="s">
        <v>498</v>
      </c>
      <c r="C100" s="113">
        <f xml:space="preserve"> ADP_el</f>
        <v>5.2399999999999998E-6</v>
      </c>
      <c r="D100" s="110" t="str">
        <f t="shared" si="6"/>
        <v>[kg Sb eq/kWhel]</v>
      </c>
      <c r="H100" s="61" t="str">
        <f t="shared" si="7"/>
        <v>EF_ADP = 0.00000524 # [kg Sb eq/kWhel]</v>
      </c>
    </row>
    <row r="101" spans="2:8" s="110" customFormat="1" x14ac:dyDescent="0.35">
      <c r="B101" s="110" t="s">
        <v>499</v>
      </c>
      <c r="C101" s="110">
        <f xml:space="preserve"> Water_el</f>
        <v>0.23899999999999999</v>
      </c>
      <c r="D101" s="110" t="str">
        <f t="shared" si="6"/>
        <v>[m³ world eq/kWhel]</v>
      </c>
      <c r="H101" s="61" t="str">
        <f t="shared" si="7"/>
        <v>EF_Water = 0.239 # [m³ world eq/kWhel]</v>
      </c>
    </row>
    <row r="102" spans="2:8" s="110" customFormat="1" x14ac:dyDescent="0.35">
      <c r="B102" s="110" t="s">
        <v>500</v>
      </c>
      <c r="C102" s="110">
        <f xml:space="preserve"> WEEE_el</f>
        <v>0</v>
      </c>
      <c r="D102" s="110" t="str">
        <f t="shared" si="6"/>
        <v>[kgWEEE/kWhel]</v>
      </c>
      <c r="H102" s="61" t="str">
        <f t="shared" si="7"/>
        <v>EF_WEEE = 0 # [kgWEEE/kWhel]</v>
      </c>
    </row>
    <row r="103" spans="2:8" s="110" customFormat="1" x14ac:dyDescent="0.35">
      <c r="B103" s="110" t="s">
        <v>501</v>
      </c>
      <c r="C103" s="110">
        <f xml:space="preserve"> TOX_el</f>
        <v>0</v>
      </c>
      <c r="D103" s="110" t="str">
        <f t="shared" si="6"/>
        <v>[kg MEG eq/kWhel]</v>
      </c>
      <c r="H103" s="61" t="str">
        <f t="shared" si="7"/>
        <v>EF_TOX = 0 # [kg MEG eq/kWhel]</v>
      </c>
    </row>
    <row r="104" spans="2:8" s="110" customFormat="1" x14ac:dyDescent="0.35"/>
    <row r="105" spans="2:8" s="110" customFormat="1" x14ac:dyDescent="0.35">
      <c r="B105" s="111" t="s">
        <v>502</v>
      </c>
      <c r="H105" s="61" t="str">
        <f>B105</f>
        <v># Umrechnung Stromverbrauch in EI</v>
      </c>
    </row>
    <row r="106" spans="2:8" s="110" customFormat="1" x14ac:dyDescent="0.35">
      <c r="B106" s="111"/>
    </row>
    <row r="107" spans="2:8" ht="30" customHeight="1" x14ac:dyDescent="0.35"/>
    <row r="109" spans="2:8" x14ac:dyDescent="0.35">
      <c r="B109" t="s">
        <v>503</v>
      </c>
      <c r="C109" s="58">
        <f xml:space="preserve"> EF_CED * E_co</f>
        <v>11.025480805369124</v>
      </c>
      <c r="D109" t="s">
        <v>129</v>
      </c>
      <c r="H109" s="61" t="str">
        <f t="shared" ref="H109:H128" ca="1" si="8">IF(AND(B109&lt;&gt;"",C109&lt;&gt;""),B109&amp;" "&amp;_xlfn.FORMULATEXT(C109)&amp;" # "&amp;D109,"")</f>
        <v>EI_CED_co_usephase = EF_CED * E_co # MJ</v>
      </c>
    </row>
    <row r="110" spans="2:8" x14ac:dyDescent="0.35">
      <c r="B110" t="s">
        <v>504</v>
      </c>
      <c r="C110" s="58">
        <f xml:space="preserve"> EF_CED * E_me</f>
        <v>2.3458469798657715</v>
      </c>
      <c r="D110" t="s">
        <v>129</v>
      </c>
      <c r="H110" s="61" t="str">
        <f t="shared" ca="1" si="8"/>
        <v>EI_CED_me_usephase = EF_CED * E_me # MJ</v>
      </c>
    </row>
    <row r="111" spans="2:8" x14ac:dyDescent="0.35">
      <c r="B111" t="s">
        <v>505</v>
      </c>
      <c r="C111" s="58">
        <f xml:space="preserve"> EF_CED * E_st</f>
        <v>3.5187704697986568</v>
      </c>
      <c r="D111" t="s">
        <v>129</v>
      </c>
      <c r="H111" s="61" t="str">
        <f t="shared" ca="1" si="8"/>
        <v>EI_CED_st_usephase = EF_CED * E_st # MJ</v>
      </c>
    </row>
    <row r="112" spans="2:8" x14ac:dyDescent="0.35">
      <c r="B112" t="s">
        <v>506</v>
      </c>
      <c r="C112" s="58">
        <f xml:space="preserve"> EF_CED * E_tr</f>
        <v>0.58646174496644288</v>
      </c>
      <c r="D112" t="s">
        <v>129</v>
      </c>
      <c r="H112" s="61" t="str">
        <f t="shared" ca="1" si="8"/>
        <v>EI_CED_tr_usephase = EF_CED * E_tr # MJ</v>
      </c>
    </row>
    <row r="113" spans="2:8" x14ac:dyDescent="0.35">
      <c r="C113" s="58"/>
      <c r="H113" s="61" t="str">
        <f t="shared" ca="1" si="8"/>
        <v/>
      </c>
    </row>
    <row r="114" spans="2:8" x14ac:dyDescent="0.35">
      <c r="B114" t="s">
        <v>507</v>
      </c>
      <c r="C114" s="58">
        <f xml:space="preserve"> EF_GWP * E_co</f>
        <v>0.55456719463087234</v>
      </c>
      <c r="D114" t="str">
        <f>"kg CO2 eq"</f>
        <v>kg CO2 eq</v>
      </c>
      <c r="F114" s="51"/>
      <c r="H114" s="61" t="str">
        <f t="shared" ca="1" si="8"/>
        <v>EI_GWP_co_usephase = EF_GWP * E_co # kg CO2 eq</v>
      </c>
    </row>
    <row r="115" spans="2:8" x14ac:dyDescent="0.35">
      <c r="B115" t="s">
        <v>508</v>
      </c>
      <c r="C115" s="58">
        <f xml:space="preserve"> EF_GWP * E_me</f>
        <v>0.11799302013422817</v>
      </c>
      <c r="D115" t="str">
        <f t="shared" ref="D115:D117" si="9">"kg CO2 eq"</f>
        <v>kg CO2 eq</v>
      </c>
      <c r="H115" s="61" t="str">
        <f t="shared" ca="1" si="8"/>
        <v>EI_GWP_me_usephase = EF_GWP * E_me # kg CO2 eq</v>
      </c>
    </row>
    <row r="116" spans="2:8" x14ac:dyDescent="0.35">
      <c r="B116" t="s">
        <v>509</v>
      </c>
      <c r="C116" s="58">
        <f xml:space="preserve"> EF_GWP * E_st</f>
        <v>0.17698953020134225</v>
      </c>
      <c r="D116" t="str">
        <f t="shared" si="9"/>
        <v>kg CO2 eq</v>
      </c>
      <c r="H116" s="61" t="str">
        <f t="shared" ca="1" si="8"/>
        <v>EI_GWP_st_usephase = EF_GWP * E_st # kg CO2 eq</v>
      </c>
    </row>
    <row r="117" spans="2:8" x14ac:dyDescent="0.35">
      <c r="B117" t="s">
        <v>510</v>
      </c>
      <c r="C117" s="58">
        <f xml:space="preserve"> EF_GWP * E_tr</f>
        <v>2.9498255033557044E-2</v>
      </c>
      <c r="D117" t="str">
        <f t="shared" si="9"/>
        <v>kg CO2 eq</v>
      </c>
      <c r="H117" s="61" t="str">
        <f t="shared" ca="1" si="8"/>
        <v>EI_GWP_tr_usephase = EF_GWP * E_tr # kg CO2 eq</v>
      </c>
    </row>
    <row r="118" spans="2:8" x14ac:dyDescent="0.35">
      <c r="C118" s="58"/>
      <c r="H118" s="61" t="str">
        <f t="shared" ca="1" si="8"/>
        <v/>
      </c>
    </row>
    <row r="119" spans="2:8" x14ac:dyDescent="0.35">
      <c r="B119" t="s">
        <v>511</v>
      </c>
      <c r="C119" s="58">
        <f xml:space="preserve"> EF_ADP * E_co</f>
        <v>6.9024515436241596E-6</v>
      </c>
      <c r="D119" t="str">
        <f>"kg Sb eq"</f>
        <v>kg Sb eq</v>
      </c>
      <c r="H119" s="61" t="str">
        <f t="shared" ca="1" si="8"/>
        <v>EI_ADP_co_usephase = EF_ADP * E_co # kg Sb eq</v>
      </c>
    </row>
    <row r="120" spans="2:8" x14ac:dyDescent="0.35">
      <c r="B120" t="s">
        <v>512</v>
      </c>
      <c r="C120" s="58">
        <f xml:space="preserve"> EF_ADP * E_me</f>
        <v>1.4686067114093959E-6</v>
      </c>
      <c r="D120" t="str">
        <f t="shared" ref="D120:D122" si="10">"kg Sb eq"</f>
        <v>kg Sb eq</v>
      </c>
      <c r="H120" s="61" t="str">
        <f t="shared" ca="1" si="8"/>
        <v>EI_ADP_me_usephase = EF_ADP * E_me # kg Sb eq</v>
      </c>
    </row>
    <row r="121" spans="2:8" x14ac:dyDescent="0.35">
      <c r="B121" t="s">
        <v>513</v>
      </c>
      <c r="C121" s="58">
        <f xml:space="preserve"> EF_ADP * E_st</f>
        <v>2.2029100671140935E-6</v>
      </c>
      <c r="D121" t="str">
        <f t="shared" si="10"/>
        <v>kg Sb eq</v>
      </c>
      <c r="H121" s="61" t="str">
        <f t="shared" ca="1" si="8"/>
        <v>EI_ADP_st_usephase = EF_ADP * E_st # kg Sb eq</v>
      </c>
    </row>
    <row r="122" spans="2:8" x14ac:dyDescent="0.35">
      <c r="B122" t="s">
        <v>514</v>
      </c>
      <c r="C122" s="58">
        <f xml:space="preserve"> EF_ADP * E_tr</f>
        <v>3.6715167785234898E-7</v>
      </c>
      <c r="D122" t="str">
        <f t="shared" si="10"/>
        <v>kg Sb eq</v>
      </c>
      <c r="H122" s="61" t="str">
        <f t="shared" ca="1" si="8"/>
        <v>EI_ADP_tr_usephase = EF_ADP * E_tr # kg Sb eq</v>
      </c>
    </row>
    <row r="123" spans="2:8" x14ac:dyDescent="0.35">
      <c r="C123" s="58"/>
      <c r="H123" s="61" t="str">
        <f t="shared" ca="1" si="8"/>
        <v/>
      </c>
    </row>
    <row r="124" spans="2:8" x14ac:dyDescent="0.35">
      <c r="B124" t="s">
        <v>515</v>
      </c>
      <c r="C124" s="58">
        <f xml:space="preserve"> EF_Water * E_co</f>
        <v>0.31482555704697979</v>
      </c>
      <c r="D124" t="str">
        <f>"m³ World eq"</f>
        <v>m³ World eq</v>
      </c>
      <c r="H124" s="61" t="str">
        <f t="shared" ca="1" si="8"/>
        <v>EI_Water_co_usephase = EF_Water * E_co # m³ World eq</v>
      </c>
    </row>
    <row r="125" spans="2:8" x14ac:dyDescent="0.35">
      <c r="B125" t="s">
        <v>516</v>
      </c>
      <c r="C125" s="58">
        <f xml:space="preserve"> EF_Water * E_me</f>
        <v>6.6984161073825502E-2</v>
      </c>
      <c r="D125" t="str">
        <f t="shared" ref="D125:D127" si="11">"m³ World eq"</f>
        <v>m³ World eq</v>
      </c>
      <c r="H125" s="61" t="str">
        <f t="shared" ca="1" si="8"/>
        <v>EI_Water_me_usephase = EF_Water * E_me # m³ World eq</v>
      </c>
    </row>
    <row r="126" spans="2:8" x14ac:dyDescent="0.35">
      <c r="B126" t="s">
        <v>517</v>
      </c>
      <c r="C126" s="58">
        <f xml:space="preserve"> EF_Water * E_st</f>
        <v>0.10047624161073825</v>
      </c>
      <c r="D126" t="str">
        <f t="shared" si="11"/>
        <v>m³ World eq</v>
      </c>
      <c r="H126" s="61" t="str">
        <f t="shared" ca="1" si="8"/>
        <v>EI_Water_st_usephase = EF_Water * E_st # m³ World eq</v>
      </c>
    </row>
    <row r="127" spans="2:8" x14ac:dyDescent="0.35">
      <c r="B127" t="s">
        <v>518</v>
      </c>
      <c r="C127" s="58">
        <f xml:space="preserve"> EF_Water * E_tr</f>
        <v>1.6746040268456375E-2</v>
      </c>
      <c r="D127" t="str">
        <f t="shared" si="11"/>
        <v>m³ World eq</v>
      </c>
      <c r="H127" s="61" t="str">
        <f t="shared" ca="1" si="8"/>
        <v>EI_Water_tr_usephase = EF_Water * E_tr # m³ World eq</v>
      </c>
    </row>
    <row r="128" spans="2:8" x14ac:dyDescent="0.35">
      <c r="C128" s="58"/>
      <c r="H128" s="61" t="str">
        <f t="shared" ca="1" si="8"/>
        <v/>
      </c>
    </row>
    <row r="129" spans="2:8" x14ac:dyDescent="0.35">
      <c r="B129" t="s">
        <v>519</v>
      </c>
      <c r="C129" s="58">
        <f xml:space="preserve"> EF_WEEE * E_co</f>
        <v>0</v>
      </c>
      <c r="D129" t="str">
        <f>"kg WEEE"</f>
        <v>kg WEEE</v>
      </c>
      <c r="H129" s="61" t="str">
        <f ca="1">B129&amp;" "&amp;_xlfn.FORMULATEXT(C129)&amp;" # "&amp;D129</f>
        <v>EI_WEEE_co_usephase = EF_WEEE * E_co # kg WEEE</v>
      </c>
    </row>
    <row r="130" spans="2:8" x14ac:dyDescent="0.35">
      <c r="B130" t="s">
        <v>520</v>
      </c>
      <c r="C130" s="58">
        <f xml:space="preserve"> EF_WEEE * E_me</f>
        <v>0</v>
      </c>
      <c r="D130" t="str">
        <f t="shared" ref="D130:D132" si="12">"kg WEEE"</f>
        <v>kg WEEE</v>
      </c>
      <c r="H130" s="61" t="str">
        <f ca="1">B130&amp;" "&amp;_xlfn.FORMULATEXT(C130)&amp;" # "&amp;D130</f>
        <v>EI_WEEE_me_usephase = EF_WEEE * E_me # kg WEEE</v>
      </c>
    </row>
    <row r="131" spans="2:8" x14ac:dyDescent="0.35">
      <c r="B131" t="s">
        <v>521</v>
      </c>
      <c r="C131" s="58">
        <f xml:space="preserve"> EF_WEEE * E_st</f>
        <v>0</v>
      </c>
      <c r="D131" t="str">
        <f t="shared" si="12"/>
        <v>kg WEEE</v>
      </c>
      <c r="H131" s="61" t="str">
        <f ca="1">B131&amp;" "&amp;_xlfn.FORMULATEXT(C131)&amp;" # "&amp;D131</f>
        <v>EI_WEEE_st_usephase = EF_WEEE * E_st # kg WEEE</v>
      </c>
    </row>
    <row r="132" spans="2:8" x14ac:dyDescent="0.35">
      <c r="B132" t="s">
        <v>522</v>
      </c>
      <c r="C132" s="58">
        <f xml:space="preserve"> EF_WEEE * E_tr</f>
        <v>0</v>
      </c>
      <c r="D132" t="str">
        <f t="shared" si="12"/>
        <v>kg WEEE</v>
      </c>
      <c r="H132" s="61" t="str">
        <f ca="1">B132&amp;" "&amp;_xlfn.FORMULATEXT(C132)&amp;" # "&amp;D132</f>
        <v>EI_WEEE_tr_usephase = EF_WEEE * E_tr # kg WEEE</v>
      </c>
    </row>
    <row r="133" spans="2:8" x14ac:dyDescent="0.35">
      <c r="C133" s="58"/>
      <c r="H133" s="61"/>
    </row>
    <row r="134" spans="2:8" x14ac:dyDescent="0.35">
      <c r="B134" t="s">
        <v>523</v>
      </c>
      <c r="C134" s="58">
        <f xml:space="preserve"> EF_TOX * E_co</f>
        <v>0</v>
      </c>
      <c r="D134" t="str">
        <f>"kg MEG eq"</f>
        <v>kg MEG eq</v>
      </c>
      <c r="H134" s="61" t="str">
        <f ca="1">B134&amp;" "&amp;_xlfn.FORMULATEXT(C134)&amp;" # "&amp;D134</f>
        <v>EI_TOX_co_usephase = EF_TOX * E_co # kg MEG eq</v>
      </c>
    </row>
    <row r="135" spans="2:8" x14ac:dyDescent="0.35">
      <c r="B135" t="s">
        <v>524</v>
      </c>
      <c r="C135" s="58">
        <f xml:space="preserve"> EF_TOX * E_me</f>
        <v>0</v>
      </c>
      <c r="D135" t="str">
        <f t="shared" ref="D135:D137" si="13">"kg MEG eq"</f>
        <v>kg MEG eq</v>
      </c>
      <c r="H135" s="61" t="str">
        <f ca="1">B135&amp;" "&amp;_xlfn.FORMULATEXT(C135)&amp;" # "&amp;D135</f>
        <v>EI_TOX_me_usephase = EF_TOX * E_me # kg MEG eq</v>
      </c>
    </row>
    <row r="136" spans="2:8" x14ac:dyDescent="0.35">
      <c r="B136" t="s">
        <v>525</v>
      </c>
      <c r="C136" s="58">
        <f xml:space="preserve"> EF_TOX * E_st</f>
        <v>0</v>
      </c>
      <c r="D136" t="str">
        <f t="shared" si="13"/>
        <v>kg MEG eq</v>
      </c>
      <c r="H136" s="61" t="str">
        <f ca="1">B136&amp;" "&amp;_xlfn.FORMULATEXT(C136)&amp;" # "&amp;D136</f>
        <v>EI_TOX_st_usephase = EF_TOX * E_st # kg MEG eq</v>
      </c>
    </row>
    <row r="137" spans="2:8" x14ac:dyDescent="0.35">
      <c r="B137" t="s">
        <v>526</v>
      </c>
      <c r="C137" s="58">
        <f xml:space="preserve"> EF_TOX * E_tr</f>
        <v>0</v>
      </c>
      <c r="D137" t="str">
        <f t="shared" si="13"/>
        <v>kg MEG eq</v>
      </c>
      <c r="H137" s="61" t="str">
        <f ca="1">B137&amp;" "&amp;_xlfn.FORMULATEXT(C137)&amp;" # "&amp;D137</f>
        <v>EI_TOX_tr_usephase = EF_TOX * E_tr # kg MEG eq</v>
      </c>
    </row>
    <row r="138" spans="2:8" x14ac:dyDescent="0.35">
      <c r="C138" s="58"/>
    </row>
    <row r="139" spans="2:8" x14ac:dyDescent="0.35">
      <c r="B139" s="59" t="s">
        <v>527</v>
      </c>
      <c r="H139" s="61" t="str">
        <f>B139</f>
        <v># 	Umweltwirkungen der Software durch Hardware-Herstellung und Nutzungsphase</v>
      </c>
    </row>
    <row r="141" spans="2:8" ht="33" customHeight="1" x14ac:dyDescent="0.35"/>
    <row r="142" spans="2:8" x14ac:dyDescent="0.35">
      <c r="B142" t="s">
        <v>419</v>
      </c>
      <c r="C142" s="58">
        <f xml:space="preserve"> EI_CED_co_embedded + EI_CED_co_usephase</f>
        <v>11.428355016213324</v>
      </c>
      <c r="D142" t="s">
        <v>129</v>
      </c>
      <c r="H142" s="61" t="str">
        <f t="shared" ref="H142:H161" ca="1" si="14">IF(AND(B142&lt;&gt;"",C142&lt;&gt;""),B142&amp;" "&amp;_xlfn.FORMULATEXT(C142)&amp;" # "&amp;D142,"")</f>
        <v>EI_CED_co = EI_CED_co_embedded + EI_CED_co_usephase # MJ</v>
      </c>
    </row>
    <row r="143" spans="2:8" x14ac:dyDescent="0.35">
      <c r="B143" t="s">
        <v>424</v>
      </c>
      <c r="C143" s="58">
        <f xml:space="preserve"> EI_CED_me_embedded + EI_CED_me_usephase</f>
        <v>3.0375419496006031</v>
      </c>
      <c r="D143" t="s">
        <v>129</v>
      </c>
      <c r="H143" s="61" t="str">
        <f t="shared" ca="1" si="14"/>
        <v>EI_CED_me = EI_CED_me_embedded + EI_CED_me_usephase # MJ</v>
      </c>
    </row>
    <row r="144" spans="2:8" x14ac:dyDescent="0.35">
      <c r="B144" t="s">
        <v>425</v>
      </c>
      <c r="C144" s="58">
        <f xml:space="preserve"> EI_CED_st_embedded + EI_CED_st_usephase</f>
        <v>4.4142191262469685</v>
      </c>
      <c r="D144" t="s">
        <v>129</v>
      </c>
      <c r="H144" s="61" t="str">
        <f t="shared" ca="1" si="14"/>
        <v>EI_CED_st = EI_CED_st_embedded + EI_CED_st_usephase # MJ</v>
      </c>
    </row>
    <row r="145" spans="2:8" x14ac:dyDescent="0.35">
      <c r="B145" t="s">
        <v>426</v>
      </c>
      <c r="C145" s="58">
        <f xml:space="preserve"> EI_CED_tr_embedded + EI_CED_tr_usephase</f>
        <v>0.68744954763773081</v>
      </c>
      <c r="D145" t="s">
        <v>129</v>
      </c>
      <c r="H145" s="61" t="str">
        <f t="shared" ca="1" si="14"/>
        <v>EI_CED_tr = EI_CED_tr_embedded + EI_CED_tr_usephase # MJ</v>
      </c>
    </row>
    <row r="146" spans="2:8" x14ac:dyDescent="0.35">
      <c r="C146" s="58"/>
      <c r="H146" s="61" t="str">
        <f t="shared" ca="1" si="14"/>
        <v/>
      </c>
    </row>
    <row r="147" spans="2:8" x14ac:dyDescent="0.35">
      <c r="B147" t="s">
        <v>427</v>
      </c>
      <c r="C147" s="58">
        <f xml:space="preserve"> EI_GWP_co_embedded + EI_GWP_co_usephase</f>
        <v>0.58273939054102375</v>
      </c>
      <c r="D147" t="str">
        <f>"kg CO2 eq"</f>
        <v>kg CO2 eq</v>
      </c>
      <c r="F147" s="51"/>
      <c r="H147" s="61" t="str">
        <f t="shared" ca="1" si="14"/>
        <v>EI_GWP_co = EI_GWP_co_embedded + EI_GWP_co_usephase # kg CO2 eq</v>
      </c>
    </row>
    <row r="148" spans="2:8" x14ac:dyDescent="0.35">
      <c r="B148" t="s">
        <v>428</v>
      </c>
      <c r="C148" s="58">
        <f xml:space="preserve"> EI_GWP_me_embedded + EI_GWP_me_usephase</f>
        <v>0.17139679148219711</v>
      </c>
      <c r="D148" t="str">
        <f t="shared" ref="D148:D150" si="15">"kg CO2 eq"</f>
        <v>kg CO2 eq</v>
      </c>
      <c r="H148" s="61" t="str">
        <f t="shared" ca="1" si="14"/>
        <v>EI_GWP_me = EI_GWP_me_embedded + EI_GWP_me_usephase # kg CO2 eq</v>
      </c>
    </row>
    <row r="149" spans="2:8" x14ac:dyDescent="0.35">
      <c r="B149" t="s">
        <v>429</v>
      </c>
      <c r="C149" s="58">
        <f xml:space="preserve"> EI_GWP_st_embedded + EI_GWP_st_usephase</f>
        <v>0.24802307426405534</v>
      </c>
      <c r="D149" t="str">
        <f t="shared" si="15"/>
        <v>kg CO2 eq</v>
      </c>
      <c r="H149" s="61" t="str">
        <f t="shared" ca="1" si="14"/>
        <v>EI_GWP_st = EI_GWP_st_embedded + EI_GWP_st_usephase # kg CO2 eq</v>
      </c>
    </row>
    <row r="150" spans="2:8" x14ac:dyDescent="0.35">
      <c r="B150" t="s">
        <v>430</v>
      </c>
      <c r="C150" s="58">
        <f xml:space="preserve"> EI_GWP_tr_embedded + EI_GWP_tr_usephase</f>
        <v>3.7353542283271465E-2</v>
      </c>
      <c r="D150" t="str">
        <f t="shared" si="15"/>
        <v>kg CO2 eq</v>
      </c>
      <c r="H150" s="61" t="str">
        <f t="shared" ca="1" si="14"/>
        <v>EI_GWP_tr = EI_GWP_tr_embedded + EI_GWP_tr_usephase # kg CO2 eq</v>
      </c>
    </row>
    <row r="151" spans="2:8" x14ac:dyDescent="0.35">
      <c r="C151" s="58"/>
      <c r="H151" s="61" t="str">
        <f t="shared" ca="1" si="14"/>
        <v/>
      </c>
    </row>
    <row r="152" spans="2:8" x14ac:dyDescent="0.35">
      <c r="B152" t="s">
        <v>431</v>
      </c>
      <c r="C152" s="58">
        <f xml:space="preserve"> EI_ADP_co_embedded + EI_ADP_co_usephase</f>
        <v>3.0332236140500695E-5</v>
      </c>
      <c r="D152" t="str">
        <f>"kg Sb eq"</f>
        <v>kg Sb eq</v>
      </c>
      <c r="H152" s="61" t="str">
        <f t="shared" ca="1" si="14"/>
        <v>EI_ADP_co = EI_ADP_co_embedded + EI_ADP_co_usephase # kg Sb eq</v>
      </c>
    </row>
    <row r="153" spans="2:8" x14ac:dyDescent="0.35">
      <c r="B153" t="s">
        <v>432</v>
      </c>
      <c r="C153" s="58">
        <f xml:space="preserve"> EI_ADP_me_embedded + EI_ADP_me_usephase</f>
        <v>6.4016365595048587E-6</v>
      </c>
      <c r="D153" t="str">
        <f t="shared" ref="D153:D155" si="16">"kg Sb eq"</f>
        <v>kg Sb eq</v>
      </c>
      <c r="H153" s="61" t="str">
        <f t="shared" ca="1" si="14"/>
        <v>EI_ADP_me = EI_ADP_me_embedded + EI_ADP_me_usephase # kg Sb eq</v>
      </c>
    </row>
    <row r="154" spans="2:8" x14ac:dyDescent="0.35">
      <c r="B154" t="s">
        <v>433</v>
      </c>
      <c r="C154" s="58">
        <f xml:space="preserve"> EI_ADP_st_embedded + EI_ADP_st_usephase</f>
        <v>5.1711681926730545E-6</v>
      </c>
      <c r="D154" t="str">
        <f t="shared" si="16"/>
        <v>kg Sb eq</v>
      </c>
      <c r="H154" s="61" t="str">
        <f t="shared" ca="1" si="14"/>
        <v>EI_ADP_st = EI_ADP_st_embedded + EI_ADP_st_usephase # kg Sb eq</v>
      </c>
    </row>
    <row r="155" spans="2:8" x14ac:dyDescent="0.35">
      <c r="B155" t="s">
        <v>434</v>
      </c>
      <c r="C155" s="58">
        <f xml:space="preserve"> EI_ADP_tr_embedded + EI_ADP_tr_usephase</f>
        <v>1.0569048847186515E-6</v>
      </c>
      <c r="D155" t="str">
        <f t="shared" si="16"/>
        <v>kg Sb eq</v>
      </c>
      <c r="H155" s="61" t="str">
        <f t="shared" ca="1" si="14"/>
        <v>EI_ADP_tr = EI_ADP_tr_embedded + EI_ADP_tr_usephase # kg Sb eq</v>
      </c>
    </row>
    <row r="156" spans="2:8" x14ac:dyDescent="0.35">
      <c r="C156" s="58"/>
      <c r="H156" s="61" t="str">
        <f t="shared" ca="1" si="14"/>
        <v/>
      </c>
    </row>
    <row r="157" spans="2:8" x14ac:dyDescent="0.35">
      <c r="B157" t="s">
        <v>435</v>
      </c>
      <c r="C157" s="58">
        <f xml:space="preserve"> EI_Water_co_embedded + EI_Water_co_usephase</f>
        <v>0.32258257972608095</v>
      </c>
      <c r="D157" t="str">
        <f>"m³ World eq"</f>
        <v>m³ World eq</v>
      </c>
      <c r="H157" s="61" t="str">
        <f t="shared" ca="1" si="14"/>
        <v>EI_Water_co = EI_Water_co_embedded + EI_Water_co_usephase # m³ World eq</v>
      </c>
    </row>
    <row r="158" spans="2:8" x14ac:dyDescent="0.35">
      <c r="B158" t="s">
        <v>436</v>
      </c>
      <c r="C158" s="58">
        <f xml:space="preserve"> EI_Water_me_embedded + EI_Water_me_usephase</f>
        <v>8.5152819023873449E-2</v>
      </c>
      <c r="D158" t="str">
        <f t="shared" ref="D158:D160" si="17">"m³ World eq"</f>
        <v>m³ World eq</v>
      </c>
      <c r="H158" s="61" t="str">
        <f t="shared" ca="1" si="14"/>
        <v>EI_Water_me = EI_Water_me_embedded + EI_Water_me_usephase # m³ World eq</v>
      </c>
    </row>
    <row r="159" spans="2:8" x14ac:dyDescent="0.35">
      <c r="B159" t="s">
        <v>437</v>
      </c>
      <c r="C159" s="58">
        <f xml:space="preserve"> EI_Water_st_embedded + EI_Water_st_usephase</f>
        <v>0.13135468726303606</v>
      </c>
      <c r="D159" t="str">
        <f t="shared" si="17"/>
        <v>m³ World eq</v>
      </c>
      <c r="H159" s="61" t="str">
        <f t="shared" ca="1" si="14"/>
        <v>EI_Water_st = EI_Water_st_embedded + EI_Water_st_usephase # m³ World eq</v>
      </c>
    </row>
    <row r="160" spans="2:8" x14ac:dyDescent="0.35">
      <c r="B160" t="s">
        <v>438</v>
      </c>
      <c r="C160" s="58">
        <f xml:space="preserve"> EI_Water_tr_embedded + EI_Water_tr_usephase</f>
        <v>2.0535194942831354E-2</v>
      </c>
      <c r="D160" t="str">
        <f t="shared" si="17"/>
        <v>m³ World eq</v>
      </c>
      <c r="H160" s="61" t="str">
        <f t="shared" ca="1" si="14"/>
        <v>EI_Water_tr = EI_Water_tr_embedded + EI_Water_tr_usephase # m³ World eq</v>
      </c>
    </row>
    <row r="161" spans="2:8" x14ac:dyDescent="0.35">
      <c r="C161" s="58"/>
      <c r="H161" s="61" t="str">
        <f t="shared" ca="1" si="14"/>
        <v/>
      </c>
    </row>
    <row r="162" spans="2:8" x14ac:dyDescent="0.35">
      <c r="B162" t="s">
        <v>439</v>
      </c>
      <c r="C162" s="58">
        <f xml:space="preserve"> EI_WEEE_co_embedded + EI_WEEE_co_usephase</f>
        <v>9.7847358121330719E-4</v>
      </c>
      <c r="D162" t="str">
        <f>"kg WEEE"</f>
        <v>kg WEEE</v>
      </c>
      <c r="H162" s="61" t="str">
        <f ca="1">B162&amp;" "&amp;_xlfn.FORMULATEXT(C162)&amp;" # "&amp;D162</f>
        <v>EI_WEEE_co = EI_WEEE_co_embedded + EI_WEEE_co_usephase # kg WEEE</v>
      </c>
    </row>
    <row r="163" spans="2:8" x14ac:dyDescent="0.35">
      <c r="B163" t="s">
        <v>440</v>
      </c>
      <c r="C163" s="58">
        <f xml:space="preserve"> EI_WEEE_me_embedded + EI_WEEE_me_usephase</f>
        <v>4.8923679060665359E-4</v>
      </c>
      <c r="D163" t="str">
        <f t="shared" ref="D163:D165" si="18">"kg WEEE"</f>
        <v>kg WEEE</v>
      </c>
      <c r="H163" s="61" t="str">
        <f ca="1">B163&amp;" "&amp;_xlfn.FORMULATEXT(C163)&amp;" # "&amp;D163</f>
        <v>EI_WEEE_me = EI_WEEE_me_embedded + EI_WEEE_me_usephase # kg WEEE</v>
      </c>
    </row>
    <row r="164" spans="2:8" x14ac:dyDescent="0.35">
      <c r="B164" t="s">
        <v>441</v>
      </c>
      <c r="C164" s="58">
        <f xml:space="preserve"> EI_WEEE_st_embedded + EI_WEEE_st_usephase</f>
        <v>4.8923679060665359E-3</v>
      </c>
      <c r="D164" t="str">
        <f t="shared" si="18"/>
        <v>kg WEEE</v>
      </c>
      <c r="H164" s="61" t="str">
        <f ca="1">B164&amp;" "&amp;_xlfn.FORMULATEXT(C164)&amp;" # "&amp;D164</f>
        <v>EI_WEEE_st = EI_WEEE_st_embedded + EI_WEEE_st_usephase # kg WEEE</v>
      </c>
    </row>
    <row r="165" spans="2:8" x14ac:dyDescent="0.35">
      <c r="B165" t="s">
        <v>442</v>
      </c>
      <c r="C165" s="58">
        <f xml:space="preserve"> EI_WEEE_tr_embedded + EI_WEEE_tr_usephase</f>
        <v>4.8923679060665359E-4</v>
      </c>
      <c r="D165" t="str">
        <f t="shared" si="18"/>
        <v>kg WEEE</v>
      </c>
      <c r="H165" s="61" t="str">
        <f ca="1">B165&amp;" "&amp;_xlfn.FORMULATEXT(C165)&amp;" # "&amp;D165</f>
        <v>EI_WEEE_tr = EI_WEEE_tr_embedded + EI_WEEE_tr_usephase # kg WEEE</v>
      </c>
    </row>
    <row r="166" spans="2:8" x14ac:dyDescent="0.35">
      <c r="C166" s="58"/>
      <c r="H166" s="61"/>
    </row>
    <row r="167" spans="2:8" x14ac:dyDescent="0.35">
      <c r="B167" t="s">
        <v>443</v>
      </c>
      <c r="C167" s="58">
        <f xml:space="preserve"> EI_TOX_co_embedded + EI_TOX_co_usephase</f>
        <v>1.1415525114155251E-4</v>
      </c>
      <c r="D167" t="str">
        <f>"kg MEG eq"</f>
        <v>kg MEG eq</v>
      </c>
      <c r="H167" s="61" t="str">
        <f ca="1">B167&amp;" "&amp;_xlfn.FORMULATEXT(C167)&amp;" # "&amp;D167</f>
        <v>EI_TOX_co = EI_TOX_co_embedded + EI_TOX_co_usephase # kg MEG eq</v>
      </c>
    </row>
    <row r="168" spans="2:8" x14ac:dyDescent="0.35">
      <c r="B168" t="s">
        <v>444</v>
      </c>
      <c r="C168" s="58">
        <f xml:space="preserve"> EI_TOX_me_embedded + EI_TOX_me_usephase</f>
        <v>5.7077625570776254E-5</v>
      </c>
      <c r="D168" t="str">
        <f t="shared" ref="D168:D170" si="19">"kg MEG eq"</f>
        <v>kg MEG eq</v>
      </c>
      <c r="H168" s="61" t="str">
        <f ca="1">B168&amp;" "&amp;_xlfn.FORMULATEXT(C168)&amp;" # "&amp;D168</f>
        <v>EI_TOX_me = EI_TOX_me_embedded + EI_TOX_me_usephase # kg MEG eq</v>
      </c>
    </row>
    <row r="169" spans="2:8" x14ac:dyDescent="0.35">
      <c r="B169" t="s">
        <v>445</v>
      </c>
      <c r="C169" s="58">
        <f xml:space="preserve"> EI_TOX_st_embedded + EI_TOX_st_usephase</f>
        <v>1.1415525114155249E-4</v>
      </c>
      <c r="D169" t="str">
        <f t="shared" si="19"/>
        <v>kg MEG eq</v>
      </c>
      <c r="H169" s="61" t="str">
        <f ca="1">B169&amp;" "&amp;_xlfn.FORMULATEXT(C169)&amp;" # "&amp;D169</f>
        <v>EI_TOX_st = EI_TOX_st_embedded + EI_TOX_st_usephase # kg MEG eq</v>
      </c>
    </row>
    <row r="170" spans="2:8" x14ac:dyDescent="0.35">
      <c r="B170" t="s">
        <v>446</v>
      </c>
      <c r="C170" s="58">
        <f xml:space="preserve"> EI_TOX_tr_embedded + EI_TOX_tr_usephase</f>
        <v>5.7077625570776247E-5</v>
      </c>
      <c r="D170" t="str">
        <f t="shared" si="19"/>
        <v>kg MEG eq</v>
      </c>
      <c r="H170" s="61" t="str">
        <f ca="1">B170&amp;" "&amp;_xlfn.FORMULATEXT(C170)&amp;" # "&amp;D170</f>
        <v>EI_TOX_tr = EI_TOX_tr_embedded + EI_TOX_tr_usephase # kg MEG eq</v>
      </c>
    </row>
    <row r="172" spans="2:8" x14ac:dyDescent="0.35">
      <c r="B172" s="59" t="s">
        <v>528</v>
      </c>
      <c r="H172" s="61" t="str">
        <f>B172</f>
        <v># Summenbildung (ohne Differenzierung in einzelne DBR)</v>
      </c>
    </row>
    <row r="174" spans="2:8" x14ac:dyDescent="0.35">
      <c r="B174" s="110" t="s">
        <v>529</v>
      </c>
      <c r="C174">
        <f xml:space="preserve"> EI_CED_co + EI_CED_me + EI_CED_st + EI_CED_tr</f>
        <v>19.567565639698625</v>
      </c>
      <c r="D174" t="s">
        <v>129</v>
      </c>
      <c r="H174" s="61" t="str">
        <f t="shared" ref="H174:H179" ca="1" si="20">B174&amp;" "&amp;_xlfn.FORMULATEXT(C174)&amp;" # "&amp;D174</f>
        <v>EI_CED = EI_CED_co + EI_CED_me + EI_CED_st + EI_CED_tr # MJ</v>
      </c>
    </row>
    <row r="175" spans="2:8" x14ac:dyDescent="0.35">
      <c r="B175" s="110" t="s">
        <v>530</v>
      </c>
      <c r="C175">
        <f xml:space="preserve"> EI_GWP_co + EI_GWP_me + EI_GWP_st + EI_GWP_tr</f>
        <v>1.0395127985705475</v>
      </c>
      <c r="D175" t="str">
        <f t="shared" ref="D175" si="21">"kg CO2 eq"</f>
        <v>kg CO2 eq</v>
      </c>
      <c r="H175" s="61" t="str">
        <f t="shared" ca="1" si="20"/>
        <v>EI_GWP = EI_GWP_co + EI_GWP_me + EI_GWP_st + EI_GWP_tr # kg CO2 eq</v>
      </c>
    </row>
    <row r="176" spans="2:8" x14ac:dyDescent="0.35">
      <c r="B176" s="110" t="s">
        <v>531</v>
      </c>
      <c r="C176">
        <f xml:space="preserve"> EI_ADP_co + EI_ADP_me + EI_ADP_st + EI_ADP_tr</f>
        <v>4.296194577739726E-5</v>
      </c>
      <c r="D176" t="str">
        <f>"kg Sb eq"</f>
        <v>kg Sb eq</v>
      </c>
      <c r="H176" s="61" t="str">
        <f t="shared" ca="1" si="20"/>
        <v>EI_ADP = EI_ADP_co + EI_ADP_me + EI_ADP_st + EI_ADP_tr # kg Sb eq</v>
      </c>
    </row>
    <row r="177" spans="2:8" x14ac:dyDescent="0.35">
      <c r="B177" s="110" t="s">
        <v>532</v>
      </c>
      <c r="C177">
        <f xml:space="preserve"> EI_Water_co + EI_Water_me + EI_Water_st + EI_Water_tr</f>
        <v>0.55962528095582187</v>
      </c>
      <c r="D177" t="str">
        <f t="shared" ref="D177" si="22">"m³ World eq"</f>
        <v>m³ World eq</v>
      </c>
      <c r="H177" s="61" t="str">
        <f t="shared" ca="1" si="20"/>
        <v>EI_Water = EI_Water_co + EI_Water_me + EI_Water_st + EI_Water_tr # m³ World eq</v>
      </c>
    </row>
    <row r="178" spans="2:8" x14ac:dyDescent="0.35">
      <c r="B178" s="110" t="s">
        <v>533</v>
      </c>
      <c r="C178">
        <f xml:space="preserve"> EI_WEEE_co + EI_WEEE_me + EI_WEEE_st + EI_WEEE_tr</f>
        <v>6.8493150684931503E-3</v>
      </c>
      <c r="D178" t="str">
        <f t="shared" ref="D178" si="23">"kg WEEE"</f>
        <v>kg WEEE</v>
      </c>
      <c r="H178" s="61" t="str">
        <f t="shared" ca="1" si="20"/>
        <v>EI_WEEE = EI_WEEE_co + EI_WEEE_me + EI_WEEE_st + EI_WEEE_tr # kg WEEE</v>
      </c>
    </row>
    <row r="179" spans="2:8" x14ac:dyDescent="0.35">
      <c r="B179" s="110" t="s">
        <v>534</v>
      </c>
      <c r="C179">
        <f xml:space="preserve"> EI_TOX_co + EI_TOX_me + EI_TOX_st + EI_TOX_tr</f>
        <v>3.4246575342465754E-4</v>
      </c>
      <c r="D179" t="str">
        <f t="shared" ref="D179" si="24">"kg MEG eq"</f>
        <v>kg MEG eq</v>
      </c>
      <c r="H179" s="61" t="str">
        <f t="shared" ca="1" si="20"/>
        <v>EI_TOX = EI_TOX_co + EI_TOX_me + EI_TOX_st + EI_TOX_tr # kg MEG eq</v>
      </c>
    </row>
  </sheetData>
  <pageMargins left="0.7" right="0.7" top="0.78740157499999996" bottom="0.78740157499999996"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50F3AE-0647-45D0-9583-5895584E85AF}">
  <dimension ref="B2:I15"/>
  <sheetViews>
    <sheetView zoomScale="85" zoomScaleNormal="85" workbookViewId="0"/>
  </sheetViews>
  <sheetFormatPr baseColWidth="10" defaultRowHeight="14.5" x14ac:dyDescent="0.35"/>
  <cols>
    <col min="2" max="2" width="30.453125" customWidth="1"/>
    <col min="5" max="5" width="16.7265625" customWidth="1"/>
    <col min="6" max="6" width="27" customWidth="1"/>
    <col min="7" max="7" width="48.7265625" bestFit="1" customWidth="1"/>
    <col min="8" max="8" width="15.7265625" bestFit="1" customWidth="1"/>
  </cols>
  <sheetData>
    <row r="2" spans="2:9" ht="21" x14ac:dyDescent="0.5">
      <c r="B2" s="69" t="s">
        <v>589</v>
      </c>
    </row>
    <row r="4" spans="2:9" x14ac:dyDescent="0.35">
      <c r="B4" s="59" t="s">
        <v>535</v>
      </c>
    </row>
    <row r="5" spans="2:9" x14ac:dyDescent="0.35">
      <c r="G5" s="59" t="s">
        <v>579</v>
      </c>
    </row>
    <row r="6" spans="2:9" x14ac:dyDescent="0.35">
      <c r="B6" t="s">
        <v>571</v>
      </c>
      <c r="C6">
        <f xml:space="preserve"> EI_GWP_co_embedded</f>
        <v>2.8172195910151451E-2</v>
      </c>
      <c r="D6" t="str">
        <f t="shared" ref="D6:D14" si="0">"kg CO2 eq"</f>
        <v>kg CO2 eq</v>
      </c>
    </row>
    <row r="7" spans="2:9" x14ac:dyDescent="0.35">
      <c r="B7" t="s">
        <v>572</v>
      </c>
      <c r="C7">
        <f xml:space="preserve"> EI_GWP_me_embedded</f>
        <v>5.3403771347968934E-2</v>
      </c>
      <c r="D7" t="str">
        <f t="shared" si="0"/>
        <v>kg CO2 eq</v>
      </c>
      <c r="G7" t="s">
        <v>580</v>
      </c>
      <c r="H7">
        <f xml:space="preserve"> EI_ADP_co_embedded</f>
        <v>2.3429784596876535E-5</v>
      </c>
      <c r="I7" t="str">
        <f t="shared" ref="I7:I15" si="1">"kg CO2 eq"</f>
        <v>kg CO2 eq</v>
      </c>
    </row>
    <row r="8" spans="2:9" x14ac:dyDescent="0.35">
      <c r="B8" t="s">
        <v>573</v>
      </c>
      <c r="C8">
        <f xml:space="preserve"> EI_GWP_st_embedded</f>
        <v>7.1033544062713103E-2</v>
      </c>
      <c r="D8" t="str">
        <f t="shared" si="0"/>
        <v>kg CO2 eq</v>
      </c>
      <c r="G8" t="s">
        <v>581</v>
      </c>
      <c r="H8">
        <f xml:space="preserve"> EI_ADP_me_embedded</f>
        <v>4.933029848095463E-6</v>
      </c>
      <c r="I8" t="str">
        <f t="shared" si="1"/>
        <v>kg CO2 eq</v>
      </c>
    </row>
    <row r="9" spans="2:9" x14ac:dyDescent="0.35">
      <c r="B9" t="s">
        <v>574</v>
      </c>
      <c r="C9">
        <f xml:space="preserve"> EI_GWP_tr_embedded</f>
        <v>7.8552872497144252E-3</v>
      </c>
      <c r="D9" t="str">
        <f t="shared" si="0"/>
        <v>kg CO2 eq</v>
      </c>
      <c r="G9" t="s">
        <v>582</v>
      </c>
      <c r="H9">
        <f xml:space="preserve"> EI_ADP_st_embedded</f>
        <v>2.9682581255589605E-6</v>
      </c>
      <c r="I9" t="str">
        <f t="shared" si="1"/>
        <v>kg CO2 eq</v>
      </c>
    </row>
    <row r="10" spans="2:9" x14ac:dyDescent="0.35">
      <c r="B10" t="s">
        <v>575</v>
      </c>
      <c r="C10">
        <f xml:space="preserve"> EI_GWP_co</f>
        <v>0.58273939054102375</v>
      </c>
      <c r="D10" t="str">
        <f t="shared" si="0"/>
        <v>kg CO2 eq</v>
      </c>
      <c r="G10" t="s">
        <v>583</v>
      </c>
      <c r="H10">
        <f xml:space="preserve"> EI_ADP_tr_embedded</f>
        <v>6.8975320686630255E-7</v>
      </c>
      <c r="I10" t="str">
        <f t="shared" si="1"/>
        <v>kg CO2 eq</v>
      </c>
    </row>
    <row r="11" spans="2:9" x14ac:dyDescent="0.35">
      <c r="B11" t="s">
        <v>576</v>
      </c>
      <c r="C11">
        <f xml:space="preserve"> EI_GWP_me</f>
        <v>0.17139679148219711</v>
      </c>
      <c r="D11" t="str">
        <f t="shared" si="0"/>
        <v>kg CO2 eq</v>
      </c>
      <c r="G11" t="s">
        <v>584</v>
      </c>
      <c r="H11">
        <f xml:space="preserve"> EI_ADP_co</f>
        <v>3.0332236140500695E-5</v>
      </c>
      <c r="I11" t="str">
        <f t="shared" si="1"/>
        <v>kg CO2 eq</v>
      </c>
    </row>
    <row r="12" spans="2:9" x14ac:dyDescent="0.35">
      <c r="B12" t="s">
        <v>577</v>
      </c>
      <c r="C12">
        <f xml:space="preserve"> EI_GWP_st</f>
        <v>0.24802307426405534</v>
      </c>
      <c r="D12" t="str">
        <f t="shared" si="0"/>
        <v>kg CO2 eq</v>
      </c>
      <c r="G12" t="s">
        <v>585</v>
      </c>
      <c r="H12">
        <f xml:space="preserve"> EI_ADP_me</f>
        <v>6.4016365595048587E-6</v>
      </c>
      <c r="I12" t="str">
        <f t="shared" si="1"/>
        <v>kg CO2 eq</v>
      </c>
    </row>
    <row r="13" spans="2:9" x14ac:dyDescent="0.35">
      <c r="B13" t="s">
        <v>578</v>
      </c>
      <c r="C13">
        <f xml:space="preserve"> EI_GWP_tr</f>
        <v>3.7353542283271465E-2</v>
      </c>
      <c r="D13" t="str">
        <f t="shared" si="0"/>
        <v>kg CO2 eq</v>
      </c>
      <c r="G13" t="s">
        <v>586</v>
      </c>
      <c r="H13">
        <f xml:space="preserve"> EI_ADP_st</f>
        <v>5.1711681926730545E-6</v>
      </c>
      <c r="I13" t="str">
        <f t="shared" si="1"/>
        <v>kg CO2 eq</v>
      </c>
    </row>
    <row r="14" spans="2:9" x14ac:dyDescent="0.35">
      <c r="B14" s="59" t="s">
        <v>537</v>
      </c>
      <c r="C14" s="115">
        <f xml:space="preserve"> SUM(C6:C13)</f>
        <v>1.1999775971410955</v>
      </c>
      <c r="D14" s="59" t="str">
        <f t="shared" si="0"/>
        <v>kg CO2 eq</v>
      </c>
      <c r="G14" t="s">
        <v>587</v>
      </c>
      <c r="H14">
        <f xml:space="preserve"> EI_ADP_tr</f>
        <v>1.0569048847186515E-6</v>
      </c>
      <c r="I14" t="str">
        <f t="shared" si="1"/>
        <v>kg CO2 eq</v>
      </c>
    </row>
    <row r="15" spans="2:9" x14ac:dyDescent="0.35">
      <c r="G15" s="59" t="s">
        <v>588</v>
      </c>
      <c r="H15" s="116">
        <f xml:space="preserve"> SUM(H7:H14)</f>
        <v>7.4982771554794536E-5</v>
      </c>
      <c r="I15" s="59" t="str">
        <f t="shared" si="1"/>
        <v>kg CO2 eq</v>
      </c>
    </row>
  </sheetData>
  <pageMargins left="0.7" right="0.7" top="0.78740157499999996" bottom="0.78740157499999996"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FFEC43-ABDD-4B69-9DEC-63C38DBB903D}">
  <dimension ref="A1:A447"/>
  <sheetViews>
    <sheetView workbookViewId="0">
      <selection sqref="A1:A447"/>
    </sheetView>
  </sheetViews>
  <sheetFormatPr baseColWidth="10" defaultRowHeight="14.5" x14ac:dyDescent="0.35"/>
  <cols>
    <col min="1" max="1" width="141.54296875" bestFit="1" customWidth="1"/>
  </cols>
  <sheetData>
    <row r="1" spans="1:1" x14ac:dyDescent="0.35">
      <c r="A1" s="103" t="s">
        <v>600</v>
      </c>
    </row>
    <row r="2" spans="1:1" x14ac:dyDescent="0.35">
      <c r="A2" s="130" t="s">
        <v>614</v>
      </c>
    </row>
    <row r="3" spans="1:1" x14ac:dyDescent="0.35">
      <c r="A3" s="103" t="str">
        <f>IF(HW_Embedded!H6&lt;&gt;"",HW_Embedded!H6,"")</f>
        <v># Allgemeine Informationen zu der Hardware (Plattform)</v>
      </c>
    </row>
    <row r="4" spans="1:1" x14ac:dyDescent="0.35">
      <c r="A4" s="103" t="str">
        <f>IF(HW_Embedded!H7&lt;&gt;"",HW_Embedded!H7,"")</f>
        <v/>
      </c>
    </row>
    <row r="5" spans="1:1" x14ac:dyDescent="0.35">
      <c r="A5" s="103" t="str">
        <f>IF(HW_Embedded!H8&lt;&gt;"",HW_Embedded!H8,"")</f>
        <v>Platform_ID = "Beispielserver zu Testzwecken" # Text: Eindeutige Bezeichnung der Plattform (input)</v>
      </c>
    </row>
    <row r="6" spans="1:1" x14ac:dyDescent="0.35">
      <c r="A6" s="103" t="str">
        <f>IF(HW_Embedded!H9&lt;&gt;"",HW_Embedded!H9,"")</f>
        <v/>
      </c>
    </row>
    <row r="7" spans="1:1" x14ac:dyDescent="0.35">
      <c r="A7" s="103" t="str">
        <f>IF(HW_Embedded!H10&lt;&gt;"",HW_Embedded!H10,"")</f>
        <v># Informationsverfügbarkeit zu besonders besorgniserregenden Stoffen (auf Geräteebene)</v>
      </c>
    </row>
    <row r="8" spans="1:1" x14ac:dyDescent="0.35">
      <c r="A8" s="103" t="str">
        <f>IF(HW_Embedded!H11&lt;&gt;"",HW_Embedded!H11,"")</f>
        <v/>
      </c>
    </row>
    <row r="9" spans="1:1" x14ac:dyDescent="0.35">
      <c r="A9" s="103" t="str">
        <f>IF(HW_Embedded!H12&lt;&gt;"",HW_Embedded!H12,"")</f>
        <v>SVHC_Score = 5 # [1...5] (input)</v>
      </c>
    </row>
    <row r="10" spans="1:1" x14ac:dyDescent="0.35">
      <c r="A10" s="103" t="str">
        <f>IF(HW_Embedded!H13&lt;&gt;"",HW_Embedded!H13,"")</f>
        <v/>
      </c>
    </row>
    <row r="11" spans="1:1" x14ac:dyDescent="0.35">
      <c r="A11" s="103" t="str">
        <f>IF(HW_Embedded!H14&lt;&gt;"",HW_Embedded!H14,"")</f>
        <v># Netto EI_hw</v>
      </c>
    </row>
    <row r="12" spans="1:1" x14ac:dyDescent="0.35">
      <c r="A12" s="103" t="str">
        <f>IF(HW_Embedded!H15&lt;&gt;"",HW_Embedded!H15,"")</f>
        <v/>
      </c>
    </row>
    <row r="13" spans="1:1" x14ac:dyDescent="0.35">
      <c r="A13" s="103" t="str">
        <f>IF(HW_Embedded!H16&lt;&gt;"",HW_Embedded!H16,"")</f>
        <v>CED_CPU = 600.5526 # MJ (input)</v>
      </c>
    </row>
    <row r="14" spans="1:1" x14ac:dyDescent="0.35">
      <c r="A14" s="103" t="str">
        <f>IF(HW_Embedded!H17&lt;&gt;"",HW_Embedded!H17,"")</f>
        <v>CED_GPU = 0.0000E+00 # MJ (input)</v>
      </c>
    </row>
    <row r="15" spans="1:1" x14ac:dyDescent="0.35">
      <c r="A15" s="103" t="str">
        <f>IF(HW_Embedded!H18&lt;&gt;"",HW_Embedded!H18,"")</f>
        <v>CED_RAM = 1031.0890 # MJ (input)</v>
      </c>
    </row>
    <row r="16" spans="1:1" x14ac:dyDescent="0.35">
      <c r="A16" s="103" t="str">
        <f>IF(HW_Embedded!H19&lt;&gt;"",HW_Embedded!H19,"")</f>
        <v>CED_SSD = 1334.8186 # MJ (input)</v>
      </c>
    </row>
    <row r="17" spans="1:1" x14ac:dyDescent="0.35">
      <c r="A17" s="103" t="str">
        <f>IF(HW_Embedded!H20&lt;&gt;"",HW_Embedded!H20,"")</f>
        <v>CED_PCB = 941.9772 # MJ (input)</v>
      </c>
    </row>
    <row r="18" spans="1:1" x14ac:dyDescent="0.35">
      <c r="A18" s="103" t="str">
        <f>IF(HW_Embedded!H21&lt;&gt;"",HW_Embedded!H21,"")</f>
        <v>CED_Chassis = 1080.5567 # MJ (input)</v>
      </c>
    </row>
    <row r="19" spans="1:1" x14ac:dyDescent="0.35">
      <c r="A19" s="103" t="str">
        <f>IF(HW_Embedded!H22&lt;&gt;"",HW_Embedded!H22,"")</f>
        <v>CED_HDD = 0.0000E+00 # MJ (input)</v>
      </c>
    </row>
    <row r="20" spans="1:1" x14ac:dyDescent="0.35">
      <c r="A20" s="103" t="str">
        <f>IF(HW_Embedded!H23&lt;&gt;"",HW_Embedded!H23,"")</f>
        <v>CED_PSUetc = 898.5169 # MJ (input)</v>
      </c>
    </row>
    <row r="21" spans="1:1" x14ac:dyDescent="0.35">
      <c r="A21" s="103" t="str">
        <f>IF(HW_Embedded!H24&lt;&gt;"",HW_Embedded!H24,"")</f>
        <v>CED_AssTest = 67.6860 # MJ (input)</v>
      </c>
    </row>
    <row r="22" spans="1:1" x14ac:dyDescent="0.35">
      <c r="A22" s="103" t="str">
        <f>IF(HW_Embedded!H25&lt;&gt;"",HW_Embedded!H25,"")</f>
        <v>CED_Ports = 150.5395 # MJ (input)</v>
      </c>
    </row>
    <row r="23" spans="1:1" x14ac:dyDescent="0.35">
      <c r="A23" s="103" t="str">
        <f ca="1">IF(HW_Embedded!H26&lt;&gt;"",HW_Embedded!H26,"")</f>
        <v>CED_Sum = CED_CPU + CED_GPU + CED_RAM + CED_SSD + CED_PCB + CED_Chassis + CED_HDD + CED_PSUetc + CED_AssTest + CED_Ports</v>
      </c>
    </row>
    <row r="24" spans="1:1" x14ac:dyDescent="0.35">
      <c r="A24" s="103" t="str">
        <f>IF(HW_Embedded!H27&lt;&gt;"",HW_Embedded!H27,"")</f>
        <v/>
      </c>
    </row>
    <row r="25" spans="1:1" x14ac:dyDescent="0.35">
      <c r="A25" s="103" t="str">
        <f>IF(HW_Embedded!H28&lt;&gt;"",HW_Embedded!H28,"")</f>
        <v>GWP_CPU = 43.1055 # kg CO2 eq (input)</v>
      </c>
    </row>
    <row r="26" spans="1:1" x14ac:dyDescent="0.35">
      <c r="A26" s="103" t="str">
        <f>IF(HW_Embedded!H29&lt;&gt;"",HW_Embedded!H29,"")</f>
        <v>GWP_GPU = 0.0000E+00 # kg CO2 eq (input)</v>
      </c>
    </row>
    <row r="27" spans="1:1" x14ac:dyDescent="0.35">
      <c r="A27" s="103" t="str">
        <f>IF(HW_Embedded!H30&lt;&gt;"",HW_Embedded!H30,"")</f>
        <v>GWP_RAM = 81.7116 # kg CO2 eq (input)</v>
      </c>
    </row>
    <row r="28" spans="1:1" x14ac:dyDescent="0.35">
      <c r="A28" s="103" t="str">
        <f>IF(HW_Embedded!H31&lt;&gt;"",HW_Embedded!H31,"")</f>
        <v>GWP_SSD = 108.6864 # kg CO2 eq (input)</v>
      </c>
    </row>
    <row r="29" spans="1:1" x14ac:dyDescent="0.35">
      <c r="A29" s="103" t="str">
        <f>IF(HW_Embedded!H32&lt;&gt;"",HW_Embedded!H32,"")</f>
        <v>GWP_PCB = 75.8061 # kg CO2 eq (input)</v>
      </c>
    </row>
    <row r="30" spans="1:1" x14ac:dyDescent="0.35">
      <c r="A30" s="103" t="str">
        <f>IF(HW_Embedded!H33&lt;&gt;"",HW_Embedded!H33,"")</f>
        <v>GWP_Chassis = 79.8295 # kg CO2 eq (input)</v>
      </c>
    </row>
    <row r="31" spans="1:1" x14ac:dyDescent="0.35">
      <c r="A31" s="103" t="str">
        <f>IF(HW_Embedded!H34&lt;&gt;"",HW_Embedded!H34,"")</f>
        <v>GWP_HDD = 0.0000E+00 # kg CO2 eq (input)</v>
      </c>
    </row>
    <row r="32" spans="1:1" x14ac:dyDescent="0.35">
      <c r="A32" s="103" t="str">
        <f>IF(HW_Embedded!H35&lt;&gt;"",HW_Embedded!H35,"")</f>
        <v>GWP_PSUetc = 62.6775 # kg CO2 eq (input)</v>
      </c>
    </row>
    <row r="33" spans="1:1" x14ac:dyDescent="0.35">
      <c r="A33" s="103" t="str">
        <f>IF(HW_Embedded!H36&lt;&gt;"",HW_Embedded!H36,"")</f>
        <v>GWP_AssTest = 4.7217 # kg CO2 eq (input)</v>
      </c>
    </row>
    <row r="34" spans="1:1" x14ac:dyDescent="0.35">
      <c r="A34" s="103" t="str">
        <f>IF(HW_Embedded!H37&lt;&gt;"",HW_Embedded!H37,"")</f>
        <v>GWP_Ports = 12.0191 # kg CO2 eq (input)</v>
      </c>
    </row>
    <row r="35" spans="1:1" x14ac:dyDescent="0.35">
      <c r="A35" s="103" t="str">
        <f ca="1">IF(HW_Embedded!H38&lt;&gt;"",HW_Embedded!H38,"")</f>
        <v>GWP_Sum = GWP_CPU + GWP_GPU + GWP_RAM + GWP_SSD + GWP_PCB + GWP_Chassis + GWP_HDD + GWP_PSUetc + GWP_AssTest + GWP_Ports</v>
      </c>
    </row>
    <row r="36" spans="1:1" x14ac:dyDescent="0.35">
      <c r="A36" s="103" t="str">
        <f>IF(HW_Embedded!H39&lt;&gt;"",HW_Embedded!H39,"")</f>
        <v/>
      </c>
    </row>
    <row r="37" spans="1:1" x14ac:dyDescent="0.35">
      <c r="A37" s="103" t="str">
        <f>IF(HW_Embedded!H40&lt;&gt;"",HW_Embedded!H40,"")</f>
        <v>ADP_CPU = 4.4860E-02 # kg Sb eq (input)</v>
      </c>
    </row>
    <row r="38" spans="1:1" x14ac:dyDescent="0.35">
      <c r="A38" s="103" t="str">
        <f>IF(HW_Embedded!H41&lt;&gt;"",HW_Embedded!H41,"")</f>
        <v>ADP_GPU = 0.0000E+00 # kg Sb eq (input)</v>
      </c>
    </row>
    <row r="39" spans="1:1" x14ac:dyDescent="0.35">
      <c r="A39" s="103" t="str">
        <f>IF(HW_Embedded!H42&lt;&gt;"",HW_Embedded!H42,"")</f>
        <v>ADP_RAM = 9.4450E-03 # kg Sb eq (input)</v>
      </c>
    </row>
    <row r="40" spans="1:1" x14ac:dyDescent="0.35">
      <c r="A40" s="103" t="str">
        <f>IF(HW_Embedded!H43&lt;&gt;"",HW_Embedded!H43,"")</f>
        <v>ADP_SSD = 5.6832E-03 # kg Sb eq (input)</v>
      </c>
    </row>
    <row r="41" spans="1:1" x14ac:dyDescent="0.35">
      <c r="A41" s="103" t="str">
        <f>IF(HW_Embedded!H44&lt;&gt;"",HW_Embedded!H44,"")</f>
        <v>ADP_PCB = 6.8292E-03 # kg Sb eq (input)</v>
      </c>
    </row>
    <row r="42" spans="1:1" x14ac:dyDescent="0.35">
      <c r="A42" s="103" t="str">
        <f>IF(HW_Embedded!H45&lt;&gt;"",HW_Embedded!H45,"")</f>
        <v>ADP_Chassis = 2.7508E-03 # kg Sb eq (input)</v>
      </c>
    </row>
    <row r="43" spans="1:1" x14ac:dyDescent="0.35">
      <c r="A43" s="103" t="str">
        <f>IF(HW_Embedded!H46&lt;&gt;"",HW_Embedded!H46,"")</f>
        <v>ADP_HDD = 0.0000E+00 # kg Sb eq (input)</v>
      </c>
    </row>
    <row r="44" spans="1:1" x14ac:dyDescent="0.35">
      <c r="A44" s="103" t="str">
        <f>IF(HW_Embedded!H47&lt;&gt;"",HW_Embedded!H47,"")</f>
        <v>ADP_PSUetc = 2.2608E-02 # kg Sb eq (input)</v>
      </c>
    </row>
    <row r="45" spans="1:1" x14ac:dyDescent="0.35">
      <c r="A45" s="103" t="str">
        <f>IF(HW_Embedded!H48&lt;&gt;"",HW_Embedded!H48,"")</f>
        <v>ADP_AssTest = 4.7843E-06 # kg Sb eq (input)</v>
      </c>
    </row>
    <row r="46" spans="1:1" x14ac:dyDescent="0.35">
      <c r="A46" s="103" t="str">
        <f>IF(HW_Embedded!H49&lt;&gt;"",HW_Embedded!H49,"")</f>
        <v>ADP_Ports = 1.3206E-03 # kg Sb eq (input)</v>
      </c>
    </row>
    <row r="47" spans="1:1" x14ac:dyDescent="0.35">
      <c r="A47" s="103" t="str">
        <f ca="1">IF(HW_Embedded!H50&lt;&gt;"",HW_Embedded!H50,"")</f>
        <v>ADP_Sum = ADP_CPU + ADP_GPU + ADP_RAM + ADP_SSD + ADP_PCB + ADP_Chassis + ADP_HDD + ADP_PSUetc + ADP_AssTest + ADP_Ports</v>
      </c>
    </row>
    <row r="48" spans="1:1" x14ac:dyDescent="0.35">
      <c r="A48" s="103" t="str">
        <f>IF(HW_Embedded!H51&lt;&gt;"",HW_Embedded!H51,"")</f>
        <v/>
      </c>
    </row>
    <row r="49" spans="1:1" x14ac:dyDescent="0.35">
      <c r="A49" s="103" t="str">
        <f>IF(HW_Embedded!H52&lt;&gt;"",HW_Embedded!H52,"")</f>
        <v>Water_CPU = 11.7257 # m³ World eq (input)</v>
      </c>
    </row>
    <row r="50" spans="1:1" x14ac:dyDescent="0.35">
      <c r="A50" s="103" t="str">
        <f>IF(HW_Embedded!H53&lt;&gt;"",HW_Embedded!H53,"")</f>
        <v>Water_GPU = 0.0000E+00 # m³ World eq (input)</v>
      </c>
    </row>
    <row r="51" spans="1:1" x14ac:dyDescent="0.35">
      <c r="A51" s="103" t="str">
        <f>IF(HW_Embedded!H54&lt;&gt;"",HW_Embedded!H54,"")</f>
        <v>Water_RAM = 27.4642 # m³ World eq (input)</v>
      </c>
    </row>
    <row r="52" spans="1:1" x14ac:dyDescent="0.35">
      <c r="A52" s="103" t="str">
        <f>IF(HW_Embedded!H55&lt;&gt;"",HW_Embedded!H55,"")</f>
        <v>Water_SSD = 46.6767 # m³ World eq (input)</v>
      </c>
    </row>
    <row r="53" spans="1:1" x14ac:dyDescent="0.35">
      <c r="A53" s="103" t="str">
        <f>IF(HW_Embedded!H56&lt;&gt;"",HW_Embedded!H56,"")</f>
        <v>Water_PCB = 35.2386 # m³ World eq (input)</v>
      </c>
    </row>
    <row r="54" spans="1:1" x14ac:dyDescent="0.35">
      <c r="A54" s="103" t="str">
        <f>IF(HW_Embedded!H57&lt;&gt;"",HW_Embedded!H57,"")</f>
        <v>Water_Chassis = 24.2801 # m³ World eq (input)</v>
      </c>
    </row>
    <row r="55" spans="1:1" x14ac:dyDescent="0.35">
      <c r="A55" s="103" t="str">
        <f>IF(HW_Embedded!H58&lt;&gt;"",HW_Embedded!H58,"")</f>
        <v>Water_HDD = 0.0000E+00 # m³ World eq (input)</v>
      </c>
    </row>
    <row r="56" spans="1:1" x14ac:dyDescent="0.35">
      <c r="A56" s="103" t="str">
        <f>IF(HW_Embedded!H59&lt;&gt;"",HW_Embedded!H59,"")</f>
        <v>Water_PSUetc = 24.8939 # m³ World eq (input)</v>
      </c>
    </row>
    <row r="57" spans="1:1" x14ac:dyDescent="0.35">
      <c r="A57" s="103" t="str">
        <f>IF(HW_Embedded!H60&lt;&gt;"",HW_Embedded!H60,"")</f>
        <v>Water_AssTest = 9.2532E-01 # m³ World eq (input)</v>
      </c>
    </row>
    <row r="58" spans="1:1" x14ac:dyDescent="0.35">
      <c r="A58" s="103" t="str">
        <f>IF(HW_Embedded!H61&lt;&gt;"",HW_Embedded!H61,"")</f>
        <v>Water_Ports = 5.7278 # m³ World eq (input)</v>
      </c>
    </row>
    <row r="59" spans="1:1" x14ac:dyDescent="0.35">
      <c r="A59" s="103" t="str">
        <f ca="1">IF(HW_Embedded!H62&lt;&gt;"",HW_Embedded!H62,"")</f>
        <v>Water_Sum = Water_CPU + Water_GPU + Water_RAM + Water_SSD + Water_PCB + Water_Chassis + Water_HDD + Water_PSUetc + Water_AssTest + Water_Ports</v>
      </c>
    </row>
    <row r="60" spans="1:1" x14ac:dyDescent="0.35">
      <c r="A60" s="103" t="str">
        <f ca="1">IF(HW_Embedded!H63&lt;&gt;"",HW_Embedded!H63,"")</f>
        <v/>
      </c>
    </row>
    <row r="61" spans="1:1" x14ac:dyDescent="0.35">
      <c r="A61" s="103" t="str">
        <f>IF(HW_Embedded!H64&lt;&gt;"",HW_Embedded!H64,"")</f>
        <v>WEEE_CPU = 1.0000E-01 # kg WEEE (input)</v>
      </c>
    </row>
    <row r="62" spans="1:1" x14ac:dyDescent="0.35">
      <c r="A62" s="103" t="str">
        <f>IF(HW_Embedded!H65&lt;&gt;"",HW_Embedded!H65,"")</f>
        <v>WEEE_GPU = 1.0000E-01 # kg WEEE (input)</v>
      </c>
    </row>
    <row r="63" spans="1:1" x14ac:dyDescent="0.35">
      <c r="A63" s="103" t="str">
        <f>IF(HW_Embedded!H66&lt;&gt;"",HW_Embedded!H66,"")</f>
        <v>WEEE_RAM = 1.0000E-01 # kg WEEE (input)</v>
      </c>
    </row>
    <row r="64" spans="1:1" x14ac:dyDescent="0.35">
      <c r="A64" s="103" t="str">
        <f>IF(HW_Embedded!H67&lt;&gt;"",HW_Embedded!H67,"")</f>
        <v>WEEE_SSD = 1.0000 # kg WEEE (input)</v>
      </c>
    </row>
    <row r="65" spans="1:1" x14ac:dyDescent="0.35">
      <c r="A65" s="103" t="str">
        <f>IF(HW_Embedded!H68&lt;&gt;"",HW_Embedded!H68,"")</f>
        <v>WEEE_PCB = 1.0000 # kg WEEE (input)</v>
      </c>
    </row>
    <row r="66" spans="1:1" x14ac:dyDescent="0.35">
      <c r="A66" s="103" t="str">
        <f>IF(HW_Embedded!H69&lt;&gt;"",HW_Embedded!H69,"")</f>
        <v>WEEE_Chassis = 14.6000 # kg WEEE (input)</v>
      </c>
    </row>
    <row r="67" spans="1:1" x14ac:dyDescent="0.35">
      <c r="A67" s="103" t="str">
        <f>IF(HW_Embedded!H70&lt;&gt;"",HW_Embedded!H70,"")</f>
        <v>WEEE_HDD = 0.0000E+00 # kg WEEE (input)</v>
      </c>
    </row>
    <row r="68" spans="1:1" x14ac:dyDescent="0.35">
      <c r="A68" s="103" t="str">
        <f>IF(HW_Embedded!H71&lt;&gt;"",HW_Embedded!H71,"")</f>
        <v>WEEE_PSUetc = 3.0000 # kg WEEE (input)</v>
      </c>
    </row>
    <row r="69" spans="1:1" x14ac:dyDescent="0.35">
      <c r="A69" s="103" t="str">
        <f>IF(HW_Embedded!H72&lt;&gt;"",HW_Embedded!H72,"")</f>
        <v>WEEE_AssTest = 0.0000E+00 # kg WEEE (input)</v>
      </c>
    </row>
    <row r="70" spans="1:1" x14ac:dyDescent="0.35">
      <c r="A70" s="103" t="str">
        <f>IF(HW_Embedded!H73&lt;&gt;"",HW_Embedded!H73,"")</f>
        <v>WEEE_Ports = 1.0000E-01 # kg WEEE (input)</v>
      </c>
    </row>
    <row r="71" spans="1:1" x14ac:dyDescent="0.35">
      <c r="A71" s="103" t="str">
        <f ca="1">IF(HW_Embedded!H74&lt;&gt;"",HW_Embedded!H74,"")</f>
        <v>WEEE_Sum = WEEE_CPU + WEEE_GPU + WEEE_RAM + WEEE_SSD + WEEE_PCB + WEEE_Chassis + WEEE_HDD + WEEE_PSUetc + WEEE_AssTest + WEEE_Ports</v>
      </c>
    </row>
    <row r="72" spans="1:1" x14ac:dyDescent="0.35">
      <c r="A72" s="103" t="str">
        <f ca="1">IF(HW_Embedded!H75&lt;&gt;"",HW_Embedded!H75,"")</f>
        <v/>
      </c>
    </row>
    <row r="73" spans="1:1" x14ac:dyDescent="0.35">
      <c r="A73" s="103" t="str">
        <f>IF(HW_Embedded!H76&lt;&gt;"",HW_Embedded!H76,"")</f>
        <v>TOX_CPU = 1.0000E-01 # kg MEG eq (input)</v>
      </c>
    </row>
    <row r="74" spans="1:1" x14ac:dyDescent="0.35">
      <c r="A74" s="103" t="str">
        <f>IF(HW_Embedded!H77&lt;&gt;"",HW_Embedded!H77,"")</f>
        <v>TOX_GPU = 1.0000E-01 # kg MEG eq (input)</v>
      </c>
    </row>
    <row r="75" spans="1:1" x14ac:dyDescent="0.35">
      <c r="A75" s="103" t="str">
        <f>IF(HW_Embedded!H78&lt;&gt;"",HW_Embedded!H78,"")</f>
        <v>TOX_RAM = 1.0000E-01 # kg MEG eq (input)</v>
      </c>
    </row>
    <row r="76" spans="1:1" x14ac:dyDescent="0.35">
      <c r="A76" s="103" t="str">
        <f>IF(HW_Embedded!H79&lt;&gt;"",HW_Embedded!H79,"")</f>
        <v>TOX_SSD = 1.0000E-01 # kg MEG eq (input)</v>
      </c>
    </row>
    <row r="77" spans="1:1" x14ac:dyDescent="0.35">
      <c r="A77" s="103" t="str">
        <f>IF(HW_Embedded!H80&lt;&gt;"",HW_Embedded!H80,"")</f>
        <v>TOX_PCB = 1.0000E-01 # kg MEG eq (input)</v>
      </c>
    </row>
    <row r="78" spans="1:1" x14ac:dyDescent="0.35">
      <c r="A78" s="103" t="str">
        <f>IF(HW_Embedded!H81&lt;&gt;"",HW_Embedded!H81,"")</f>
        <v>TOX_Chassis = 1.0000E-01 # kg MEG eq (input)</v>
      </c>
    </row>
    <row r="79" spans="1:1" x14ac:dyDescent="0.35">
      <c r="A79" s="103" t="str">
        <f>IF(HW_Embedded!H82&lt;&gt;"",HW_Embedded!H82,"")</f>
        <v>TOX_HDD = 1.0000E-01 # kg MEG eq (input)</v>
      </c>
    </row>
    <row r="80" spans="1:1" x14ac:dyDescent="0.35">
      <c r="A80" s="103" t="str">
        <f>IF(HW_Embedded!H83&lt;&gt;"",HW_Embedded!H83,"")</f>
        <v>TOX_PSUetc = 1.0000E-01 # kg MEG eq (input)</v>
      </c>
    </row>
    <row r="81" spans="1:1" x14ac:dyDescent="0.35">
      <c r="A81" s="103" t="str">
        <f>IF(HW_Embedded!H84&lt;&gt;"",HW_Embedded!H84,"")</f>
        <v>TOX_AssTest = 1.0000E-01 # kg MEG eq (input)</v>
      </c>
    </row>
    <row r="82" spans="1:1" x14ac:dyDescent="0.35">
      <c r="A82" s="103" t="str">
        <f>IF(HW_Embedded!H85&lt;&gt;"",HW_Embedded!H85,"")</f>
        <v>TOX_Ports = 1.0000E-01 # kg MEG eq (input)</v>
      </c>
    </row>
    <row r="83" spans="1:1" x14ac:dyDescent="0.35">
      <c r="A83" s="103" t="str">
        <f ca="1">IF(HW_Embedded!H86&lt;&gt;"",HW_Embedded!H86,"")</f>
        <v>TOX_Sum = TOX_CPU + TOX_GPU + TOX_RAM + TOX_SSD + TOX_PCB + TOX_Chassis + TOX_HDD + TOX_PSUetc + TOX_AssTest + TOX_Ports</v>
      </c>
    </row>
    <row r="84" spans="1:1" x14ac:dyDescent="0.35">
      <c r="A84" s="103" t="str">
        <f>IF(HW_Embedded!H87&lt;&gt;"",HW_Embedded!H87,"")</f>
        <v/>
      </c>
    </row>
    <row r="85" spans="1:1" x14ac:dyDescent="0.35">
      <c r="A85" s="103" t="str">
        <f>IF(HW_Embedded!H88&lt;&gt;"",HW_Embedded!H88,"")</f>
        <v># Zuordnungsfaktor für Overhead zhw</v>
      </c>
    </row>
    <row r="86" spans="1:1" x14ac:dyDescent="0.35">
      <c r="A86" s="103" t="str">
        <f>IF(HW_Embedded!H89&lt;&gt;"",HW_Embedded!H89,"")</f>
        <v/>
      </c>
    </row>
    <row r="87" spans="1:1" x14ac:dyDescent="0.35">
      <c r="A87" s="103" t="str">
        <f ca="1">IF(HW_Embedded!H90&lt;&gt;"",HW_Embedded!H90,"")</f>
        <v>z_CED_compute = (CED_CPU + CED_GPU) / (CED_CPU + CED_GPU + CED_RAM + CED_SSD + CED_HDD + CED_Ports)</v>
      </c>
    </row>
    <row r="88" spans="1:1" x14ac:dyDescent="0.35">
      <c r="A88" s="103" t="str">
        <f ca="1">IF(HW_Embedded!H91&lt;&gt;"",HW_Embedded!H91,"")</f>
        <v>z_CED_memorize = CED_RAM / (CED_CPU + CED_GPU + CED_RAM + CED_SSD + CED_HDD + CED_Ports)</v>
      </c>
    </row>
    <row r="89" spans="1:1" x14ac:dyDescent="0.35">
      <c r="A89" s="103" t="str">
        <f ca="1">IF(HW_Embedded!H92&lt;&gt;"",HW_Embedded!H92,"")</f>
        <v>z_CED_store = (CED_SSD + CED_HDD) / (CED_CPU + CED_GPU + CED_RAM + CED_SSD + CED_HDD + CED_Ports)</v>
      </c>
    </row>
    <row r="90" spans="1:1" x14ac:dyDescent="0.35">
      <c r="A90" s="103" t="str">
        <f ca="1">IF(HW_Embedded!H93&lt;&gt;"",HW_Embedded!H93,"")</f>
        <v>z_CED_transfer = CED_Ports / (CED_CPU + CED_GPU + CED_RAM + CED_SSD + CED_HDD + CED_Ports)</v>
      </c>
    </row>
    <row r="91" spans="1:1" x14ac:dyDescent="0.35">
      <c r="A91" s="103" t="str">
        <f ca="1">IF(HW_Embedded!H94&lt;&gt;"",HW_Embedded!H94,"")</f>
        <v/>
      </c>
    </row>
    <row r="92" spans="1:1" x14ac:dyDescent="0.35">
      <c r="A92" s="103" t="str">
        <f ca="1">IF(HW_Embedded!H95&lt;&gt;"",HW_Embedded!H95,"")</f>
        <v>z_GWP_compute = (GWP_CPU + GWP_GPU) / (GWP_CPU + GWP_GPU + GWP_RAM + GWP_SSD + GWP_HDD + GWP_Ports)</v>
      </c>
    </row>
    <row r="93" spans="1:1" x14ac:dyDescent="0.35">
      <c r="A93" s="103" t="str">
        <f ca="1">IF(HW_Embedded!H96&lt;&gt;"",HW_Embedded!H96,"")</f>
        <v>z_GWP_memorize = GWP_RAM / (GWP_CPU + GWP_GPU + GWP_RAM + GWP_SSD + GWP_HDD + GWP_Ports)</v>
      </c>
    </row>
    <row r="94" spans="1:1" x14ac:dyDescent="0.35">
      <c r="A94" s="103" t="str">
        <f ca="1">IF(HW_Embedded!H97&lt;&gt;"",HW_Embedded!H97,"")</f>
        <v>z_GWP_store = (GWP_SSD + GWP_HDD) / (GWP_CPU + GWP_GPU + GWP_RAM + GWP_SSD + GWP_HDD + GWP_Ports)</v>
      </c>
    </row>
    <row r="95" spans="1:1" x14ac:dyDescent="0.35">
      <c r="A95" s="103" t="str">
        <f ca="1">IF(HW_Embedded!H98&lt;&gt;"",HW_Embedded!H98,"")</f>
        <v>z_GWP_transfer = GWP_Ports / (GWP_CPU + GWP_GPU + GWP_RAM + GWP_SSD + GWP_HDD + GWP_Ports)</v>
      </c>
    </row>
    <row r="96" spans="1:1" x14ac:dyDescent="0.35">
      <c r="A96" s="103" t="str">
        <f ca="1">IF(HW_Embedded!H99&lt;&gt;"",HW_Embedded!H99,"")</f>
        <v/>
      </c>
    </row>
    <row r="97" spans="1:1" x14ac:dyDescent="0.35">
      <c r="A97" s="103" t="str">
        <f ca="1">IF(HW_Embedded!H100&lt;&gt;"",HW_Embedded!H100,"")</f>
        <v>z_ADP_compute = (ADP_CPU + ADP_GPU) / (ADP_CPU + ADP_GPU + ADP_RAM + ADP_SSD + ADP_HDD + ADP_Ports)</v>
      </c>
    </row>
    <row r="98" spans="1:1" x14ac:dyDescent="0.35">
      <c r="A98" s="103" t="str">
        <f ca="1">IF(HW_Embedded!H101&lt;&gt;"",HW_Embedded!H101,"")</f>
        <v>z_ADP_memorize = ADP_RAM / (ADP_CPU + ADP_GPU + ADP_RAM + ADP_SSD + ADP_HDD + ADP_Ports)</v>
      </c>
    </row>
    <row r="99" spans="1:1" x14ac:dyDescent="0.35">
      <c r="A99" s="103" t="str">
        <f ca="1">IF(HW_Embedded!H102&lt;&gt;"",HW_Embedded!H102,"")</f>
        <v>z_ADP_store = (ADP_SSD + ADP_HDD) / (ADP_CPU + ADP_GPU + ADP_RAM + ADP_SSD + ADP_HDD + ADP_Ports)</v>
      </c>
    </row>
    <row r="100" spans="1:1" x14ac:dyDescent="0.35">
      <c r="A100" s="103" t="str">
        <f ca="1">IF(HW_Embedded!H103&lt;&gt;"",HW_Embedded!H103,"")</f>
        <v>z_ADP_transfer = ADP_Ports / (ADP_CPU + ADP_GPU + ADP_RAM + ADP_SSD + ADP_HDD + ADP_Ports)</v>
      </c>
    </row>
    <row r="101" spans="1:1" x14ac:dyDescent="0.35">
      <c r="A101" s="103" t="str">
        <f ca="1">IF(HW_Embedded!H104&lt;&gt;"",HW_Embedded!H104,"")</f>
        <v/>
      </c>
    </row>
    <row r="102" spans="1:1" x14ac:dyDescent="0.35">
      <c r="A102" s="103" t="str">
        <f ca="1">IF(HW_Embedded!H105&lt;&gt;"",HW_Embedded!H105,"")</f>
        <v>z_Water_compute = (Water_CPU + Water_GPU) / (Water_CPU + Water_GPU + Water_RAM + Water_SSD + Water_HDD + Water_Ports)</v>
      </c>
    </row>
    <row r="103" spans="1:1" x14ac:dyDescent="0.35">
      <c r="A103" s="103" t="str">
        <f ca="1">IF(HW_Embedded!H106&lt;&gt;"",HW_Embedded!H106,"")</f>
        <v>z_Water_memorize = Water_RAM / (Water_CPU + Water_GPU + Water_RAM + Water_SSD + Water_HDD + Water_Ports)</v>
      </c>
    </row>
    <row r="104" spans="1:1" x14ac:dyDescent="0.35">
      <c r="A104" s="103" t="str">
        <f ca="1">IF(HW_Embedded!H107&lt;&gt;"",HW_Embedded!H107,"")</f>
        <v>z_Water_store = (Water_SSD + Water_HDD) / (Water_CPU + Water_GPU + Water_RAM + Water_SSD + Water_HDD + Water_Ports)</v>
      </c>
    </row>
    <row r="105" spans="1:1" x14ac:dyDescent="0.35">
      <c r="A105" s="103" t="str">
        <f ca="1">IF(HW_Embedded!H108&lt;&gt;"",HW_Embedded!H108,"")</f>
        <v>z_Water_transfer = Water_Ports / (Water_CPU + Water_GPU + Water_RAM + Water_SSD + Water_HDD + Water_Ports)</v>
      </c>
    </row>
    <row r="106" spans="1:1" x14ac:dyDescent="0.35">
      <c r="A106" s="103" t="str">
        <f ca="1">IF(HW_Embedded!H109&lt;&gt;"",HW_Embedded!H109,"")</f>
        <v/>
      </c>
    </row>
    <row r="107" spans="1:1" x14ac:dyDescent="0.35">
      <c r="A107" s="103" t="str">
        <f ca="1">IF(HW_Embedded!H110&lt;&gt;"",HW_Embedded!H110,"")</f>
        <v>z_WEEE_compute = (WEEE_CPU + WEEE_GPU) / (WEEE_CPU + WEEE_GPU + WEEE_RAM + WEEE_SSD + WEEE_HDD + WEEE_Ports)</v>
      </c>
    </row>
    <row r="108" spans="1:1" x14ac:dyDescent="0.35">
      <c r="A108" s="103" t="str">
        <f ca="1">IF(HW_Embedded!H111&lt;&gt;"",HW_Embedded!H111,"")</f>
        <v>z_WEEE_memorize = WEEE_RAM / (WEEE_CPU + WEEE_GPU + WEEE_RAM + WEEE_SSD + WEEE_HDD + WEEE_Ports)</v>
      </c>
    </row>
    <row r="109" spans="1:1" x14ac:dyDescent="0.35">
      <c r="A109" s="103" t="str">
        <f ca="1">IF(HW_Embedded!H112&lt;&gt;"",HW_Embedded!H112,"")</f>
        <v>z_WEEE_store = (WEEE_SSD + WEEE_HDD) / (WEEE_CPU + WEEE_GPU + WEEE_RAM + WEEE_SSD + WEEE_HDD + WEEE_Ports)</v>
      </c>
    </row>
    <row r="110" spans="1:1" x14ac:dyDescent="0.35">
      <c r="A110" s="103" t="str">
        <f ca="1">IF(HW_Embedded!H113&lt;&gt;"",HW_Embedded!H113,"")</f>
        <v>z_WEEE_transfer = WEEE_Ports / (WEEE_CPU + WEEE_GPU + WEEE_RAM + WEEE_SSD + WEEE_HDD + WEEE_Ports)</v>
      </c>
    </row>
    <row r="111" spans="1:1" x14ac:dyDescent="0.35">
      <c r="A111" s="103" t="str">
        <f ca="1">IF(HW_Embedded!H114&lt;&gt;"",HW_Embedded!H114,"")</f>
        <v/>
      </c>
    </row>
    <row r="112" spans="1:1" x14ac:dyDescent="0.35">
      <c r="A112" s="103" t="str">
        <f ca="1">IF(HW_Embedded!H115&lt;&gt;"",HW_Embedded!H115,"")</f>
        <v>z_TOX_compute = (TOX_CPU + TOX_GPU) / (TOX_CPU + TOX_GPU + TOX_RAM + TOX_SSD + TOX_HDD + TOX_Ports)</v>
      </c>
    </row>
    <row r="113" spans="1:1" x14ac:dyDescent="0.35">
      <c r="A113" s="103" t="str">
        <f ca="1">IF(HW_Embedded!H116&lt;&gt;"",HW_Embedded!H116,"")</f>
        <v>z_TOX_memorize = TOX_RAM / (TOX_CPU + TOX_GPU + TOX_RAM + TOX_SSD + TOX_HDD + TOX_Ports)</v>
      </c>
    </row>
    <row r="114" spans="1:1" x14ac:dyDescent="0.35">
      <c r="A114" s="103" t="str">
        <f ca="1">IF(HW_Embedded!H117&lt;&gt;"",HW_Embedded!H117,"")</f>
        <v>z_TOX_store = (TOX_SSD + TOX_HDD) / (TOX_CPU + TOX_GPU + TOX_RAM + TOX_SSD + TOX_HDD + TOX_Ports)</v>
      </c>
    </row>
    <row r="115" spans="1:1" x14ac:dyDescent="0.35">
      <c r="A115" s="103" t="str">
        <f ca="1">IF(HW_Embedded!H118&lt;&gt;"",HW_Embedded!H118,"")</f>
        <v>z_TOX_transfer = TOX_Ports / (TOX_CPU + TOX_GPU + TOX_RAM + TOX_SSD + TOX_HDD + TOX_Ports)</v>
      </c>
    </row>
    <row r="116" spans="1:1" x14ac:dyDescent="0.35">
      <c r="A116" s="103" t="str">
        <f>IF(HW_Embedded!H119&lt;&gt;"",HW_Embedded!H119,"")</f>
        <v/>
      </c>
    </row>
    <row r="117" spans="1:1" x14ac:dyDescent="0.35">
      <c r="A117" s="103" t="str">
        <f>IF(HW_Embedded!H120&lt;&gt;"",HW_Embedded!H120,"")</f>
        <v># EI per DBR (manufacturing)</v>
      </c>
    </row>
    <row r="118" spans="1:1" x14ac:dyDescent="0.35">
      <c r="A118" s="103" t="str">
        <f>IF(HW_Embedded!H121&lt;&gt;"",HW_Embedded!H121,"")</f>
        <v/>
      </c>
    </row>
    <row r="119" spans="1:1" x14ac:dyDescent="0.35">
      <c r="A119" s="103" t="str">
        <f ca="1">IF(HW_Embedded!H122&lt;&gt;"",HW_Embedded!H122,"")</f>
        <v>CED_co = CED_Sum * z_CED_compute # MJ</v>
      </c>
    </row>
    <row r="120" spans="1:1" x14ac:dyDescent="0.35">
      <c r="A120" s="103" t="str">
        <f ca="1">IF(HW_Embedded!H123&lt;&gt;"",HW_Embedded!H123,"")</f>
        <v>CED_me = CED_Sum * z_CED_memorize # MJ</v>
      </c>
    </row>
    <row r="121" spans="1:1" x14ac:dyDescent="0.35">
      <c r="A121" s="103" t="str">
        <f ca="1">IF(HW_Embedded!H124&lt;&gt;"",HW_Embedded!H124,"")</f>
        <v>CED_st = CED_Sum * z_CED_store # MJ</v>
      </c>
    </row>
    <row r="122" spans="1:1" x14ac:dyDescent="0.35">
      <c r="A122" s="103" t="str">
        <f ca="1">IF(HW_Embedded!H125&lt;&gt;"",HW_Embedded!H125,"")</f>
        <v>CED_tr = CED_Sum * z_CED_transfer # MJ</v>
      </c>
    </row>
    <row r="123" spans="1:1" x14ac:dyDescent="0.35">
      <c r="A123" s="103" t="str">
        <f ca="1">IF(HW_Embedded!H126&lt;&gt;"",HW_Embedded!H126,"")</f>
        <v/>
      </c>
    </row>
    <row r="124" spans="1:1" x14ac:dyDescent="0.35">
      <c r="A124" s="103" t="str">
        <f ca="1">IF(HW_Embedded!H127&lt;&gt;"",HW_Embedded!H127,"")</f>
        <v>GWP_co = GWP_Sum * z_GWP_compute # kg CO2 eq</v>
      </c>
    </row>
    <row r="125" spans="1:1" x14ac:dyDescent="0.35">
      <c r="A125" s="103" t="str">
        <f ca="1">IF(HW_Embedded!H128&lt;&gt;"",HW_Embedded!H128,"")</f>
        <v>GWP_me = GWP_Sum * z_GWP_memorize # kg CO2 eq</v>
      </c>
    </row>
    <row r="126" spans="1:1" x14ac:dyDescent="0.35">
      <c r="A126" s="103" t="str">
        <f ca="1">IF(HW_Embedded!H129&lt;&gt;"",HW_Embedded!H129,"")</f>
        <v>GWP_st = GWP_Sum * z_GWP_store # kg CO2 eq</v>
      </c>
    </row>
    <row r="127" spans="1:1" x14ac:dyDescent="0.35">
      <c r="A127" s="103" t="str">
        <f ca="1">IF(HW_Embedded!H130&lt;&gt;"",HW_Embedded!H130,"")</f>
        <v>GWP_tr = GWP_Sum * z_GWP_transfer # kg CO2 eq</v>
      </c>
    </row>
    <row r="128" spans="1:1" x14ac:dyDescent="0.35">
      <c r="A128" s="103" t="str">
        <f ca="1">IF(HW_Embedded!H131&lt;&gt;"",HW_Embedded!H131,"")</f>
        <v/>
      </c>
    </row>
    <row r="129" spans="1:1" x14ac:dyDescent="0.35">
      <c r="A129" s="103" t="str">
        <f ca="1">IF(HW_Embedded!H132&lt;&gt;"",HW_Embedded!H132,"")</f>
        <v>ADP_co = ADP_Sum * z_ADP_compute # kg Sb eq</v>
      </c>
    </row>
    <row r="130" spans="1:1" x14ac:dyDescent="0.35">
      <c r="A130" s="103" t="str">
        <f ca="1">IF(HW_Embedded!H133&lt;&gt;"",HW_Embedded!H133,"")</f>
        <v>ADP_me = ADP_Sum * z_ADP_memorize # kg Sb eq</v>
      </c>
    </row>
    <row r="131" spans="1:1" x14ac:dyDescent="0.35">
      <c r="A131" s="103" t="str">
        <f ca="1">IF(HW_Embedded!H134&lt;&gt;"",HW_Embedded!H134,"")</f>
        <v>ADP_st = ADP_Sum * z_ADP_store # kg Sb eq</v>
      </c>
    </row>
    <row r="132" spans="1:1" x14ac:dyDescent="0.35">
      <c r="A132" s="103" t="str">
        <f ca="1">IF(HW_Embedded!H135&lt;&gt;"",HW_Embedded!H135,"")</f>
        <v>ADP_tr = ADP_Sum * z_ADP_transfer # kg Sb eq</v>
      </c>
    </row>
    <row r="133" spans="1:1" x14ac:dyDescent="0.35">
      <c r="A133" s="103" t="str">
        <f ca="1">IF(HW_Embedded!H136&lt;&gt;"",HW_Embedded!H136,"")</f>
        <v/>
      </c>
    </row>
    <row r="134" spans="1:1" x14ac:dyDescent="0.35">
      <c r="A134" s="103" t="str">
        <f ca="1">IF(HW_Embedded!H137&lt;&gt;"",HW_Embedded!H137,"")</f>
        <v>Water_co = Water_Sum * z_Water_compute # m³ World eq</v>
      </c>
    </row>
    <row r="135" spans="1:1" x14ac:dyDescent="0.35">
      <c r="A135" s="103" t="str">
        <f ca="1">IF(HW_Embedded!H138&lt;&gt;"",HW_Embedded!H138,"")</f>
        <v>Water_me = Water_Sum * z_Water_memorize # m³ World eq</v>
      </c>
    </row>
    <row r="136" spans="1:1" x14ac:dyDescent="0.35">
      <c r="A136" s="103" t="str">
        <f ca="1">IF(HW_Embedded!H139&lt;&gt;"",HW_Embedded!H139,"")</f>
        <v>Water_st = Water_Sum * z_Water_store # m³ World eq</v>
      </c>
    </row>
    <row r="137" spans="1:1" x14ac:dyDescent="0.35">
      <c r="A137" s="103" t="str">
        <f ca="1">IF(HW_Embedded!H140&lt;&gt;"",HW_Embedded!H140,"")</f>
        <v>Water_tr = Water_Sum * z_Water_transfer # m³ World eq</v>
      </c>
    </row>
    <row r="138" spans="1:1" x14ac:dyDescent="0.35">
      <c r="A138" s="103" t="str">
        <f ca="1">IF(HW_Embedded!H141&lt;&gt;"",HW_Embedded!H141,"")</f>
        <v/>
      </c>
    </row>
    <row r="139" spans="1:1" x14ac:dyDescent="0.35">
      <c r="A139" s="103" t="str">
        <f ca="1">IF(HW_Embedded!H142&lt;&gt;"",HW_Embedded!H142,"")</f>
        <v>WEEE_co = WEEE_Sum * z_WEEE_compute # kg WEEE</v>
      </c>
    </row>
    <row r="140" spans="1:1" x14ac:dyDescent="0.35">
      <c r="A140" s="103" t="str">
        <f ca="1">IF(HW_Embedded!H143&lt;&gt;"",HW_Embedded!H143,"")</f>
        <v>WEEE_me = WEEE_Sum * z_WEEE_memorize # kg WEEE</v>
      </c>
    </row>
    <row r="141" spans="1:1" x14ac:dyDescent="0.35">
      <c r="A141" s="103" t="str">
        <f ca="1">IF(HW_Embedded!H144&lt;&gt;"",HW_Embedded!H144,"")</f>
        <v>WEEE_st = WEEE_Sum * z_WEEE_store # kg WEEE</v>
      </c>
    </row>
    <row r="142" spans="1:1" x14ac:dyDescent="0.35">
      <c r="A142" s="103" t="str">
        <f ca="1">IF(HW_Embedded!H145&lt;&gt;"",HW_Embedded!H145,"")</f>
        <v>WEEE_tr = WEEE_Sum * z_WEEE_transfer # kg WEEE</v>
      </c>
    </row>
    <row r="143" spans="1:1" x14ac:dyDescent="0.35">
      <c r="A143" s="103" t="str">
        <f ca="1">IF(HW_Embedded!H146&lt;&gt;"",HW_Embedded!H146,"")</f>
        <v/>
      </c>
    </row>
    <row r="144" spans="1:1" x14ac:dyDescent="0.35">
      <c r="A144" s="103" t="str">
        <f ca="1">IF(HW_Embedded!H147&lt;&gt;"",HW_Embedded!H147,"")</f>
        <v>TOX_co = TOX_Sum * z_TOX_compute # kg MEG eq</v>
      </c>
    </row>
    <row r="145" spans="1:1" x14ac:dyDescent="0.35">
      <c r="A145" s="103" t="str">
        <f ca="1">IF(HW_Embedded!H148&lt;&gt;"",HW_Embedded!H148,"")</f>
        <v>TOX_me = TOX_Sum * z_TOX_memorize # kg MEG eq</v>
      </c>
    </row>
    <row r="146" spans="1:1" x14ac:dyDescent="0.35">
      <c r="A146" s="103" t="str">
        <f ca="1">IF(HW_Embedded!H149&lt;&gt;"",HW_Embedded!H149,"")</f>
        <v>TOX_st = TOX_Sum * z_TOX_store # kg MEG eq</v>
      </c>
    </row>
    <row r="147" spans="1:1" x14ac:dyDescent="0.35">
      <c r="A147" s="103" t="str">
        <f ca="1">IF(HW_Embedded!H150&lt;&gt;"",HW_Embedded!H150,"")</f>
        <v>TOX_tr = TOX_Sum * z_TOX_transfer # kg MEG eq</v>
      </c>
    </row>
    <row r="148" spans="1:1" x14ac:dyDescent="0.35">
      <c r="A148" s="130" t="s">
        <v>614</v>
      </c>
    </row>
    <row r="149" spans="1:1" x14ac:dyDescent="0.35">
      <c r="A149" s="103" t="str">
        <f>IF(HW_Usephase!H4&lt;&gt;"",HW_Usephase!H4,"")</f>
        <v># Netto-Leistungsaufnahme</v>
      </c>
    </row>
    <row r="150" spans="1:1" x14ac:dyDescent="0.35">
      <c r="A150" s="103" t="str">
        <f>IF(HW_Usephase!H5&lt;&gt;"",HW_Usephase!H5,"")</f>
        <v/>
      </c>
    </row>
    <row r="151" spans="1:1" x14ac:dyDescent="0.35">
      <c r="A151" s="103" t="str">
        <f>IF(HW_Usephase!H6&lt;&gt;"",HW_Usephase!H6,"")</f>
        <v>P_idle_CPU = 50 # W (input)</v>
      </c>
    </row>
    <row r="152" spans="1:1" x14ac:dyDescent="0.35">
      <c r="A152" s="103" t="str">
        <f>IF(HW_Usephase!H7&lt;&gt;"",HW_Usephase!H7,"")</f>
        <v>P_max_CPU = 150 # W (input)</v>
      </c>
    </row>
    <row r="153" spans="1:1" x14ac:dyDescent="0.35">
      <c r="A153" s="103" t="str">
        <f>IF(HW_Usephase!H8&lt;&gt;"",HW_Usephase!H8,"")</f>
        <v>P_average_CPU = 70 # W (input)</v>
      </c>
    </row>
    <row r="154" spans="1:1" x14ac:dyDescent="0.35">
      <c r="A154" s="103" t="str">
        <f>IF(HW_Usephase!H9&lt;&gt;"",HW_Usephase!H9,"")</f>
        <v/>
      </c>
    </row>
    <row r="155" spans="1:1" x14ac:dyDescent="0.35">
      <c r="A155" s="103" t="str">
        <f>IF(HW_Usephase!H10&lt;&gt;"",HW_Usephase!H10,"")</f>
        <v>P_idle_GPU = 20 # W (input)</v>
      </c>
    </row>
    <row r="156" spans="1:1" x14ac:dyDescent="0.35">
      <c r="A156" s="103" t="str">
        <f>IF(HW_Usephase!H11&lt;&gt;"",HW_Usephase!H11,"")</f>
        <v>P_max_GPU = 100 # W (input)</v>
      </c>
    </row>
    <row r="157" spans="1:1" x14ac:dyDescent="0.35">
      <c r="A157" s="103" t="str">
        <f>IF(HW_Usephase!H12&lt;&gt;"",HW_Usephase!H12,"")</f>
        <v>P_average_GPU = 24 # W (input)</v>
      </c>
    </row>
    <row r="158" spans="1:1" x14ac:dyDescent="0.35">
      <c r="A158" s="103" t="str">
        <f>IF(HW_Usephase!H13&lt;&gt;"",HW_Usephase!H13,"")</f>
        <v/>
      </c>
    </row>
    <row r="159" spans="1:1" x14ac:dyDescent="0.35">
      <c r="A159" s="103" t="str">
        <f>IF(HW_Usephase!H14&lt;&gt;"",HW_Usephase!H14,"")</f>
        <v>P_idle_RAM = 20 # W (input)</v>
      </c>
    </row>
    <row r="160" spans="1:1" x14ac:dyDescent="0.35">
      <c r="A160" s="103" t="str">
        <f>IF(HW_Usephase!H15&lt;&gt;"",HW_Usephase!H15,"")</f>
        <v>P_max_RAM = 20 # W (input)</v>
      </c>
    </row>
    <row r="161" spans="1:1" x14ac:dyDescent="0.35">
      <c r="A161" s="103" t="str">
        <f>IF(HW_Usephase!H16&lt;&gt;"",HW_Usephase!H16,"")</f>
        <v>P_average_RAM = 20 # W (input)</v>
      </c>
    </row>
    <row r="162" spans="1:1" x14ac:dyDescent="0.35">
      <c r="A162" s="103" t="str">
        <f>IF(HW_Usephase!H17&lt;&gt;"",HW_Usephase!H17,"")</f>
        <v/>
      </c>
    </row>
    <row r="163" spans="1:1" x14ac:dyDescent="0.35">
      <c r="A163" s="103" t="str">
        <f>IF(HW_Usephase!H18&lt;&gt;"",HW_Usephase!H18,"")</f>
        <v>P_idle_SSD = 10 # W (input)</v>
      </c>
    </row>
    <row r="164" spans="1:1" x14ac:dyDescent="0.35">
      <c r="A164" s="103" t="str">
        <f>IF(HW_Usephase!H19&lt;&gt;"",HW_Usephase!H19,"")</f>
        <v>P_max_SSD = 10 # W (input)</v>
      </c>
    </row>
    <row r="165" spans="1:1" x14ac:dyDescent="0.35">
      <c r="A165" s="103" t="str">
        <f>IF(HW_Usephase!H20&lt;&gt;"",HW_Usephase!H20,"")</f>
        <v>P_average_SSD = 10 # W (input)</v>
      </c>
    </row>
    <row r="166" spans="1:1" x14ac:dyDescent="0.35">
      <c r="A166" s="103" t="str">
        <f>IF(HW_Usephase!H21&lt;&gt;"",HW_Usephase!H21,"")</f>
        <v/>
      </c>
    </row>
    <row r="167" spans="1:1" x14ac:dyDescent="0.35">
      <c r="A167" s="103" t="str">
        <f>IF(HW_Usephase!H22&lt;&gt;"",HW_Usephase!H22,"")</f>
        <v>P_idle_HDD = 20 # W (input)</v>
      </c>
    </row>
    <row r="168" spans="1:1" x14ac:dyDescent="0.35">
      <c r="A168" s="103" t="str">
        <f>IF(HW_Usephase!H23&lt;&gt;"",HW_Usephase!H23,"")</f>
        <v>P_max_HDD = 20 # W (input)</v>
      </c>
    </row>
    <row r="169" spans="1:1" x14ac:dyDescent="0.35">
      <c r="A169" s="103" t="str">
        <f>IF(HW_Usephase!H24&lt;&gt;"",HW_Usephase!H24,"")</f>
        <v>P_average_HDD = 20 # W (input)</v>
      </c>
    </row>
    <row r="170" spans="1:1" x14ac:dyDescent="0.35">
      <c r="A170" s="103" t="str">
        <f>IF(HW_Usephase!H25&lt;&gt;"",HW_Usephase!H25,"")</f>
        <v/>
      </c>
    </row>
    <row r="171" spans="1:1" x14ac:dyDescent="0.35">
      <c r="A171" s="103" t="str">
        <f>IF(HW_Usephase!H26&lt;&gt;"",HW_Usephase!H26,"")</f>
        <v>P_idle_NW = 5 # W (input)</v>
      </c>
    </row>
    <row r="172" spans="1:1" x14ac:dyDescent="0.35">
      <c r="A172" s="103" t="str">
        <f>IF(HW_Usephase!H27&lt;&gt;"",HW_Usephase!H27,"")</f>
        <v>P_max_NW = 5 # W (input)</v>
      </c>
    </row>
    <row r="173" spans="1:1" x14ac:dyDescent="0.35">
      <c r="A173" s="103" t="str">
        <f>IF(HW_Usephase!H28&lt;&gt;"",HW_Usephase!H28,"")</f>
        <v>P_average_NW = 5 # W (input)</v>
      </c>
    </row>
    <row r="174" spans="1:1" x14ac:dyDescent="0.35">
      <c r="A174" s="103" t="str">
        <f>IF(HW_Usephase!H29&lt;&gt;"",HW_Usephase!H29,"")</f>
        <v/>
      </c>
    </row>
    <row r="175" spans="1:1" x14ac:dyDescent="0.35">
      <c r="A175" s="103" t="str">
        <f>IF(HW_Usephase!H30&lt;&gt;"",HW_Usephase!H30,"")</f>
        <v>P_idle_total = 150 # W (input)</v>
      </c>
    </row>
    <row r="176" spans="1:1" x14ac:dyDescent="0.35">
      <c r="A176" s="103" t="str">
        <f>IF(HW_Usephase!H31&lt;&gt;"",HW_Usephase!H31,"")</f>
        <v>P_max_total = 330 # W (input)</v>
      </c>
    </row>
    <row r="177" spans="1:1" x14ac:dyDescent="0.35">
      <c r="A177" s="103" t="str">
        <f>IF(HW_Usephase!H32&lt;&gt;"",HW_Usephase!H32,"")</f>
        <v>P_average_total = 174 # W (input)</v>
      </c>
    </row>
    <row r="178" spans="1:1" x14ac:dyDescent="0.35">
      <c r="A178" s="103" t="str">
        <f>IF(HW_Usephase!H33&lt;&gt;"",HW_Usephase!H33,"")</f>
        <v/>
      </c>
    </row>
    <row r="179" spans="1:1" x14ac:dyDescent="0.35">
      <c r="A179" s="103" t="str">
        <f>IF(HW_Usephase!H34&lt;&gt;"",HW_Usephase!H34,"")</f>
        <v># Zuordnungsfaktor für Overhead zhw</v>
      </c>
    </row>
    <row r="180" spans="1:1" x14ac:dyDescent="0.35">
      <c r="A180" s="103" t="str">
        <f>IF(HW_Usephase!H35&lt;&gt;"",HW_Usephase!H35,"")</f>
        <v/>
      </c>
    </row>
    <row r="181" spans="1:1" x14ac:dyDescent="0.35">
      <c r="A181" s="103" t="str">
        <f ca="1">IF(HW_Usephase!H36&lt;&gt;"",HW_Usephase!H36,"")</f>
        <v xml:space="preserve">z_CPU = P_average_CPU / (P_average_CPU + P_average_GPU + P_average_RAM + P_average_SSD + P_average_HDD + P_average_NW) # </v>
      </c>
    </row>
    <row r="182" spans="1:1" x14ac:dyDescent="0.35">
      <c r="A182" s="103" t="str">
        <f ca="1">IF(HW_Usephase!H37&lt;&gt;"",HW_Usephase!H37,"")</f>
        <v xml:space="preserve">z_GPU = P_average_GPU / (P_average_CPU + P_average_GPU + P_average_RAM + P_average_SSD + P_average_HDD + P_average_NW) # </v>
      </c>
    </row>
    <row r="183" spans="1:1" x14ac:dyDescent="0.35">
      <c r="A183" s="103" t="str">
        <f ca="1">IF(HW_Usephase!H38&lt;&gt;"",HW_Usephase!H38,"")</f>
        <v xml:space="preserve">z_RAM = P_average_RAM / (P_average_CPU + P_average_GPU + P_average_RAM + P_average_SSD + P_average_HDD + P_average_NW) # </v>
      </c>
    </row>
    <row r="184" spans="1:1" x14ac:dyDescent="0.35">
      <c r="A184" s="103" t="str">
        <f ca="1">IF(HW_Usephase!H39&lt;&gt;"",HW_Usephase!H39,"")</f>
        <v xml:space="preserve">z_SSD = P_average_SSD / (P_average_CPU + P_average_GPU + P_average_RAM + P_average_SSD + P_average_HDD + P_average_NW) # </v>
      </c>
    </row>
    <row r="185" spans="1:1" x14ac:dyDescent="0.35">
      <c r="A185" s="103" t="str">
        <f ca="1">IF(HW_Usephase!H40&lt;&gt;"",HW_Usephase!H40,"")</f>
        <v xml:space="preserve">z_HDD = P_average_HDD / (P_average_CPU + P_average_GPU + P_average_RAM + P_average_SSD + P_average_HDD + P_average_NW) # </v>
      </c>
    </row>
    <row r="186" spans="1:1" x14ac:dyDescent="0.35">
      <c r="A186" s="103" t="str">
        <f ca="1">IF(HW_Usephase!H41&lt;&gt;"",HW_Usephase!H41,"")</f>
        <v xml:space="preserve">z_NW = P_average_NW / (P_average_CPU + P_average_GPU + P_average_RAM + P_average_SSD + P_average_HDD + P_average_NW) # </v>
      </c>
    </row>
    <row r="187" spans="1:1" x14ac:dyDescent="0.35">
      <c r="A187" s="103" t="str">
        <f>IF(HW_Usephase!H42&lt;&gt;"",HW_Usephase!H42,"")</f>
        <v/>
      </c>
    </row>
    <row r="188" spans="1:1" x14ac:dyDescent="0.35">
      <c r="A188" s="103" t="str">
        <f>IF(HW_Usephase!H43&lt;&gt;"",HW_Usephase!H43,"")</f>
        <v># Brutto-Leistungsaufnahme</v>
      </c>
    </row>
    <row r="189" spans="1:1" x14ac:dyDescent="0.35">
      <c r="A189" s="103" t="str">
        <f>IF(HW_Usephase!H44&lt;&gt;"",HW_Usephase!H44,"")</f>
        <v/>
      </c>
    </row>
    <row r="190" spans="1:1" x14ac:dyDescent="0.35">
      <c r="A190" s="103" t="str">
        <f ca="1">IF(HW_Usephase!H45&lt;&gt;"",HW_Usephase!H45,"")</f>
        <v>P_brutto_average_CPU = P_average_total * z_CPU # W</v>
      </c>
    </row>
    <row r="191" spans="1:1" x14ac:dyDescent="0.35">
      <c r="A191" s="103" t="str">
        <f ca="1">IF(HW_Usephase!H46&lt;&gt;"",HW_Usephase!H46,"")</f>
        <v>P_brutto_average_GPU = P_average_total * z_GPU # W</v>
      </c>
    </row>
    <row r="192" spans="1:1" x14ac:dyDescent="0.35">
      <c r="A192" s="103" t="str">
        <f ca="1">IF(HW_Usephase!H47&lt;&gt;"",HW_Usephase!H47,"")</f>
        <v>P_brutto_average_RAM = P_average_total * z_RAM # W</v>
      </c>
    </row>
    <row r="193" spans="1:1" x14ac:dyDescent="0.35">
      <c r="A193" s="103" t="str">
        <f ca="1">IF(HW_Usephase!H48&lt;&gt;"",HW_Usephase!H48,"")</f>
        <v>P_brutto_average_SSD = P_average_total * z_SSD # W</v>
      </c>
    </row>
    <row r="194" spans="1:1" x14ac:dyDescent="0.35">
      <c r="A194" s="103" t="str">
        <f ca="1">IF(HW_Usephase!H49&lt;&gt;"",HW_Usephase!H49,"")</f>
        <v>P_brutto_average_HDD = P_average_total * z_HDD # W</v>
      </c>
    </row>
    <row r="195" spans="1:1" x14ac:dyDescent="0.35">
      <c r="A195" s="103" t="str">
        <f ca="1">IF(HW_Usephase!H50&lt;&gt;"",HW_Usephase!H50,"")</f>
        <v>P_brutto_average_NW = P_average_total * z_NW # W</v>
      </c>
    </row>
    <row r="196" spans="1:1" x14ac:dyDescent="0.35">
      <c r="A196" s="103" t="str">
        <f>IF(HW_Usephase!H51&lt;&gt;"",HW_Usephase!H51,"")</f>
        <v/>
      </c>
    </row>
    <row r="197" spans="1:1" x14ac:dyDescent="0.35">
      <c r="A197" s="103" t="str">
        <f>IF(HW_Usephase!H52&lt;&gt;"",HW_Usephase!H52,"")</f>
        <v># nicht nach Hardware, sondern nach DBR aufgeteilt</v>
      </c>
    </row>
    <row r="198" spans="1:1" x14ac:dyDescent="0.35">
      <c r="A198" s="103" t="str">
        <f ca="1">IF(HW_Usephase!H53&lt;&gt;"",HW_Usephase!H53,"")</f>
        <v>P_brutto_average_co = P_brutto_average_CPU + P_brutto_average_GPU # W</v>
      </c>
    </row>
    <row r="199" spans="1:1" x14ac:dyDescent="0.35">
      <c r="A199" s="103" t="str">
        <f ca="1">IF(HW_Usephase!H54&lt;&gt;"",HW_Usephase!H54,"")</f>
        <v>P_brutto_average_me = P_brutto_average_RAM # W</v>
      </c>
    </row>
    <row r="200" spans="1:1" x14ac:dyDescent="0.35">
      <c r="A200" s="103" t="str">
        <f ca="1">IF(HW_Usephase!H55&lt;&gt;"",HW_Usephase!H55,"")</f>
        <v>P_brutto_average_st = P_brutto_average_SSD + P_brutto_average_HDD # W</v>
      </c>
    </row>
    <row r="201" spans="1:1" x14ac:dyDescent="0.35">
      <c r="A201" s="103" t="str">
        <f ca="1">IF(HW_Usephase!H56&lt;&gt;"",HW_Usephase!H56,"")</f>
        <v>P_brutto_average_tr = P_brutto_average_NW # W</v>
      </c>
    </row>
    <row r="202" spans="1:1" x14ac:dyDescent="0.35">
      <c r="A202" s="130" t="s">
        <v>614</v>
      </c>
    </row>
    <row r="203" spans="1:1" x14ac:dyDescent="0.35">
      <c r="A203" s="103" t="str">
        <f>IF(HW_Benefit!H4&lt;&gt;"",HW_Benefit!H4,"")</f>
        <v># Digitale Basisressourcen DBR_maximal</v>
      </c>
    </row>
    <row r="204" spans="1:1" x14ac:dyDescent="0.35">
      <c r="A204" s="103" t="str">
        <f>IF(HW_Benefit!H5&lt;&gt;"",HW_Benefit!H5,"")</f>
        <v/>
      </c>
    </row>
    <row r="205" spans="1:1" x14ac:dyDescent="0.35">
      <c r="A205" s="103" t="str">
        <f>IF(HW_Benefit!H6&lt;&gt;"",HW_Benefit!H6,"")</f>
        <v>DBR_CPU =  128 # GHz*bit (input)</v>
      </c>
    </row>
    <row r="206" spans="1:1" x14ac:dyDescent="0.35">
      <c r="A206" s="103" t="str">
        <f>IF(HW_Benefit!H7&lt;&gt;"",HW_Benefit!H7,"")</f>
        <v>DBR_GPU = 0 # TFLOPS (input)</v>
      </c>
    </row>
    <row r="207" spans="1:1" x14ac:dyDescent="0.35">
      <c r="A207" s="103" t="str">
        <f>IF(HW_Benefit!H8&lt;&gt;"",HW_Benefit!H8,"")</f>
        <v>DBR_RAM = 8 # Gigabyte (input)</v>
      </c>
    </row>
    <row r="208" spans="1:1" x14ac:dyDescent="0.35">
      <c r="A208" s="103" t="str">
        <f>IF(HW_Benefit!H9&lt;&gt;"",HW_Benefit!H9,"")</f>
        <v>DBR_SSDHDD = 4000 # Gigabyte (input)</v>
      </c>
    </row>
    <row r="209" spans="1:1" x14ac:dyDescent="0.35">
      <c r="A209" s="103" t="str">
        <f>IF(HW_Benefit!H10&lt;&gt;"",HW_Benefit!H10,"")</f>
        <v>DBR_NW = 100 # Megabit/s (input)</v>
      </c>
    </row>
    <row r="210" spans="1:1" x14ac:dyDescent="0.35">
      <c r="A210" s="103" t="str">
        <f>IF(HW_Benefit!H11&lt;&gt;"",HW_Benefit!H11,"")</f>
        <v/>
      </c>
    </row>
    <row r="211" spans="1:1" x14ac:dyDescent="0.35">
      <c r="A211" s="103" t="str">
        <f>IF(HW_Benefit!H12&lt;&gt;"",HW_Benefit!H12,"")</f>
        <v># Durchschnittliche Auslastung oder Belegung (Load_average)</v>
      </c>
    </row>
    <row r="212" spans="1:1" x14ac:dyDescent="0.35">
      <c r="A212" s="103" t="str">
        <f>IF(HW_Benefit!H13&lt;&gt;"",HW_Benefit!H13,"")</f>
        <v/>
      </c>
    </row>
    <row r="213" spans="1:1" x14ac:dyDescent="0.35">
      <c r="A213" s="103" t="str">
        <f>IF(HW_Benefit!H14&lt;&gt;"",HW_Benefit!H14,"")</f>
        <v>Load_average_CPU = 0.2 #  (input)</v>
      </c>
    </row>
    <row r="214" spans="1:1" x14ac:dyDescent="0.35">
      <c r="A214" s="103" t="str">
        <f>IF(HW_Benefit!H15&lt;&gt;"",HW_Benefit!H15,"")</f>
        <v>Load_average_GPU = 0 #  (input)</v>
      </c>
    </row>
    <row r="215" spans="1:1" x14ac:dyDescent="0.35">
      <c r="A215" s="103" t="str">
        <f>IF(HW_Benefit!H16&lt;&gt;"",HW_Benefit!H16,"")</f>
        <v>Load_average_RAM = 0.1 #  (input)</v>
      </c>
    </row>
    <row r="216" spans="1:1" x14ac:dyDescent="0.35">
      <c r="A216" s="103" t="str">
        <f>IF(HW_Benefit!H17&lt;&gt;"",HW_Benefit!H17,"")</f>
        <v>Load_average_SSDHDD = 0.5 #  (input)</v>
      </c>
    </row>
    <row r="217" spans="1:1" x14ac:dyDescent="0.35">
      <c r="A217" s="103" t="str">
        <f>IF(HW_Benefit!H18&lt;&gt;"",HW_Benefit!H18,"")</f>
        <v>Load_average_NW = 0.02 #  (input)</v>
      </c>
    </row>
    <row r="218" spans="1:1" x14ac:dyDescent="0.35">
      <c r="A218" s="103" t="str">
        <f>IF(HW_Benefit!H19&lt;&gt;"",HW_Benefit!H19,"")</f>
        <v/>
      </c>
    </row>
    <row r="219" spans="1:1" x14ac:dyDescent="0.35">
      <c r="A219" s="103" t="str">
        <f>IF(HW_Benefit!H20&lt;&gt;"",HW_Benefit!H20,"")</f>
        <v># Technische Lebensdauer oder Nutzungsdauer der Hardware - Plattform</v>
      </c>
    </row>
    <row r="220" spans="1:1" x14ac:dyDescent="0.35">
      <c r="A220" s="103" t="str">
        <f>IF(HW_Benefit!H21&lt;&gt;"",HW_Benefit!H21,"")</f>
        <v/>
      </c>
    </row>
    <row r="221" spans="1:1" x14ac:dyDescent="0.35">
      <c r="A221" s="103" t="str">
        <f>IF(HW_Benefit!H22&lt;&gt;"",HW_Benefit!H22,"")</f>
        <v>Lifetime = 4 # a (input)</v>
      </c>
    </row>
    <row r="222" spans="1:1" x14ac:dyDescent="0.35">
      <c r="A222" s="103" t="str">
        <f>IF(HW_Benefit!H23&lt;&gt;"",HW_Benefit!H23,"")</f>
        <v/>
      </c>
    </row>
    <row r="223" spans="1:1" x14ac:dyDescent="0.35">
      <c r="A223" s="103" t="str">
        <f>IF(HW_Benefit!H24&lt;&gt;"",HW_Benefit!H24,"")</f>
        <v># Digitale Basisressourcen DBR_average</v>
      </c>
    </row>
    <row r="224" spans="1:1" x14ac:dyDescent="0.35">
      <c r="A224" s="103" t="str">
        <f>IF(HW_Benefit!H25&lt;&gt;"",HW_Benefit!H25,"")</f>
        <v/>
      </c>
    </row>
    <row r="225" spans="1:1" x14ac:dyDescent="0.35">
      <c r="A225" s="103" t="str">
        <f ca="1">IF(HW_Benefit!H26&lt;&gt;"",HW_Benefit!H26,"")</f>
        <v>DBR_co_average = DBR_CPU * Load_average_CPU # GHz*bit (input)</v>
      </c>
    </row>
    <row r="226" spans="1:1" x14ac:dyDescent="0.35">
      <c r="A226" s="103" t="str">
        <f ca="1">IF(HW_Benefit!H27&lt;&gt;"",HW_Benefit!H27,"")</f>
        <v>DBR_me_average = DBR_RAM * Load_average_RAM # Gigabyte (input)</v>
      </c>
    </row>
    <row r="227" spans="1:1" x14ac:dyDescent="0.35">
      <c r="A227" s="103" t="str">
        <f ca="1">IF(HW_Benefit!H28&lt;&gt;"",HW_Benefit!H28,"")</f>
        <v>DBR_st_average = DBR_SSDHDD * Load_average_SSDHDD # GHz*bit (input)</v>
      </c>
    </row>
    <row r="228" spans="1:1" x14ac:dyDescent="0.35">
      <c r="A228" s="103" t="str">
        <f ca="1">IF(HW_Benefit!H29&lt;&gt;"",HW_Benefit!H29,"")</f>
        <v>DBR_tr_average = DBR_NW * Load_average_NW # Megabit/s (input)</v>
      </c>
    </row>
    <row r="229" spans="1:1" x14ac:dyDescent="0.35">
      <c r="A229" s="103" t="str">
        <f>IF(HW_Benefit!H30&lt;&gt;"",HW_Benefit!H30,"")</f>
        <v/>
      </c>
    </row>
    <row r="230" spans="1:1" x14ac:dyDescent="0.35">
      <c r="A230" s="103" t="str">
        <f>IF(HW_Benefit!H31&lt;&gt;"",HW_Benefit!H31,"")</f>
        <v># Digitale Arbeit der Hardware - Plattform über die Lebensdauer</v>
      </c>
    </row>
    <row r="231" spans="1:1" x14ac:dyDescent="0.35">
      <c r="A231" s="103" t="str">
        <f>IF(HW_Benefit!H32&lt;&gt;"",HW_Benefit!H32,"")</f>
        <v/>
      </c>
    </row>
    <row r="232" spans="1:1" x14ac:dyDescent="0.35">
      <c r="A232" s="103" t="str">
        <f ca="1">IF(HW_Benefit!H33&lt;&gt;"",HW_Benefit!H33,"")</f>
        <v>DW_co = DBR_CPU * Load_average_CPU * Lifetime * 8760 * 3600 # GHz*bit (input)*s</v>
      </c>
    </row>
    <row r="233" spans="1:1" x14ac:dyDescent="0.35">
      <c r="A233" s="103" t="str">
        <f ca="1">IF(HW_Benefit!H34&lt;&gt;"",HW_Benefit!H34,"")</f>
        <v>DW_me = DBR_RAM * Load_average_RAM * Lifetime * 8760 * 3600 # Gigabyte (input)*s</v>
      </c>
    </row>
    <row r="234" spans="1:1" x14ac:dyDescent="0.35">
      <c r="A234" s="103" t="str">
        <f ca="1">IF(HW_Benefit!H35&lt;&gt;"",HW_Benefit!H35,"")</f>
        <v>DW_st = DBR_SSDHDD * Load_average_SSDHDD * Lifetime * 8760 * 3600 # GHz*bit (input)*s</v>
      </c>
    </row>
    <row r="235" spans="1:1" x14ac:dyDescent="0.35">
      <c r="A235" s="103" t="str">
        <f ca="1">IF(HW_Benefit!H36&lt;&gt;"",HW_Benefit!H36,"")</f>
        <v>DW_tr = DBR_NW * Load_average_NW * Lifetime * 8760 * 3600 # Megabit/s (input)*s</v>
      </c>
    </row>
    <row r="236" spans="1:1" x14ac:dyDescent="0.35">
      <c r="A236" s="130" t="s">
        <v>614</v>
      </c>
    </row>
    <row r="237" spans="1:1" x14ac:dyDescent="0.35">
      <c r="A237" s="103" t="str">
        <f>IF(EBR!H2&lt;&gt;"",EBR!H2,"")</f>
        <v># Aufwandskennzahlen für die Herstellung</v>
      </c>
    </row>
    <row r="238" spans="1:1" x14ac:dyDescent="0.35">
      <c r="A238" s="103" t="str">
        <f>IF(EBR!H3&lt;&gt;"",EBR!H3,"")</f>
        <v/>
      </c>
    </row>
    <row r="239" spans="1:1" x14ac:dyDescent="0.35">
      <c r="A239" s="103" t="str">
        <f ca="1">IF(EBR!H4&lt;&gt;"",EBR!H4,"")</f>
        <v>EBR_CED_co = CED_co / DW_co # MJ/(GHz*bit (input)*s)</v>
      </c>
    </row>
    <row r="240" spans="1:1" x14ac:dyDescent="0.35">
      <c r="A240" s="103" t="str">
        <f ca="1">IF(EBR!H5&lt;&gt;"",EBR!H5,"")</f>
        <v>EBR_CED_me = CED_me / DW_me # MJ/(Gigabyte (input)*s)</v>
      </c>
    </row>
    <row r="241" spans="1:1" x14ac:dyDescent="0.35">
      <c r="A241" s="103" t="str">
        <f ca="1">IF(EBR!H6&lt;&gt;"",EBR!H6,"")</f>
        <v>EBR_CED_st = CED_st / DW_st # MJ/(Gigabyte (input)*s)</v>
      </c>
    </row>
    <row r="242" spans="1:1" x14ac:dyDescent="0.35">
      <c r="A242" s="103" t="str">
        <f ca="1">IF(EBR!H7&lt;&gt;"",EBR!H7,"")</f>
        <v>EBR_CED_tr = CED_tr / DW_tr # MJ/(Megabit/s (input)*s)</v>
      </c>
    </row>
    <row r="243" spans="1:1" x14ac:dyDescent="0.35">
      <c r="A243" s="103" t="str">
        <f ca="1">IF(EBR!H8&lt;&gt;"",EBR!H8,"")</f>
        <v/>
      </c>
    </row>
    <row r="244" spans="1:1" x14ac:dyDescent="0.35">
      <c r="A244" s="103" t="str">
        <f ca="1">IF(EBR!H9&lt;&gt;"",EBR!H9,"")</f>
        <v>EBR_GWP_co = GWP_co / DW_co # kg CO2 eq/(GHz*bit (input)*s)</v>
      </c>
    </row>
    <row r="245" spans="1:1" x14ac:dyDescent="0.35">
      <c r="A245" s="103" t="str">
        <f ca="1">IF(EBR!H10&lt;&gt;"",EBR!H10,"")</f>
        <v>EBR_GWP_me = GWP_me / DW_me # kg CO2 eq/(Gigabyte (input)*s)</v>
      </c>
    </row>
    <row r="246" spans="1:1" x14ac:dyDescent="0.35">
      <c r="A246" s="103" t="str">
        <f ca="1">IF(EBR!H11&lt;&gt;"",EBR!H11,"")</f>
        <v>EBR_GWP_st = GWP_st / DW_st # kg CO2 eq/(Gigabyte (input)*s)</v>
      </c>
    </row>
    <row r="247" spans="1:1" x14ac:dyDescent="0.35">
      <c r="A247" s="103" t="str">
        <f ca="1">IF(EBR!H12&lt;&gt;"",EBR!H12,"")</f>
        <v>EBR_GWP_tr = GWP_tr / DW_tr # kg CO2 eq/(Megabit/s (input)*s)</v>
      </c>
    </row>
    <row r="248" spans="1:1" x14ac:dyDescent="0.35">
      <c r="A248" s="103" t="str">
        <f ca="1">IF(EBR!H13&lt;&gt;"",EBR!H13,"")</f>
        <v/>
      </c>
    </row>
    <row r="249" spans="1:1" x14ac:dyDescent="0.35">
      <c r="A249" s="103" t="str">
        <f ca="1">IF(EBR!H14&lt;&gt;"",EBR!H14,"")</f>
        <v>EBR_ADP_co = ADP_co / DW_co # kg Sb eq/(GHz*bit (input)*s)</v>
      </c>
    </row>
    <row r="250" spans="1:1" x14ac:dyDescent="0.35">
      <c r="A250" s="103" t="str">
        <f ca="1">IF(EBR!H15&lt;&gt;"",EBR!H15,"")</f>
        <v>EBR_ADP_me = ADP_me / DW_me # MJ/(Gigabyte (input)*s)</v>
      </c>
    </row>
    <row r="251" spans="1:1" x14ac:dyDescent="0.35">
      <c r="A251" s="103" t="str">
        <f ca="1">IF(EBR!H16&lt;&gt;"",EBR!H16,"")</f>
        <v>EBR_ADP_st = ADP_st / DW_st # MJ/(Gigabyte (input)*s)</v>
      </c>
    </row>
    <row r="252" spans="1:1" x14ac:dyDescent="0.35">
      <c r="A252" s="103" t="str">
        <f ca="1">IF(EBR!H17&lt;&gt;"",EBR!H17,"")</f>
        <v>EBR_ADP_tr = ADP_tr / DW_tr # MJ/(Megabit/s (input)*s)</v>
      </c>
    </row>
    <row r="253" spans="1:1" x14ac:dyDescent="0.35">
      <c r="A253" s="103" t="str">
        <f ca="1">IF(EBR!H18&lt;&gt;"",EBR!H18,"")</f>
        <v/>
      </c>
    </row>
    <row r="254" spans="1:1" x14ac:dyDescent="0.35">
      <c r="A254" s="103" t="str">
        <f ca="1">IF(EBR!H19&lt;&gt;"",EBR!H19,"")</f>
        <v>EBR_Water_co = Water_co / DW_co # m³ World eq/(GHz*bit (input)*s)</v>
      </c>
    </row>
    <row r="255" spans="1:1" x14ac:dyDescent="0.35">
      <c r="A255" s="103" t="str">
        <f ca="1">IF(EBR!H20&lt;&gt;"",EBR!H20,"")</f>
        <v>EBR_Water_me = Water_me / DW_me # m³ World eq/(Gigabyte (input)*s)</v>
      </c>
    </row>
    <row r="256" spans="1:1" x14ac:dyDescent="0.35">
      <c r="A256" s="103" t="str">
        <f ca="1">IF(EBR!H21&lt;&gt;"",EBR!H21,"")</f>
        <v>EBR_Water_st = Water_st / DW_st # m³ World eq/(Gigabyte (input)*s)</v>
      </c>
    </row>
    <row r="257" spans="1:1" x14ac:dyDescent="0.35">
      <c r="A257" s="103" t="str">
        <f ca="1">IF(EBR!H22&lt;&gt;"",EBR!H22,"")</f>
        <v>EBR_Water_tr = Water_tr / DW_tr # m³ World eq/(Megabit/s (input)*s)</v>
      </c>
    </row>
    <row r="258" spans="1:1" x14ac:dyDescent="0.35">
      <c r="A258" s="103" t="str">
        <f ca="1">IF(EBR!H23&lt;&gt;"",EBR!H23,"")</f>
        <v/>
      </c>
    </row>
    <row r="259" spans="1:1" x14ac:dyDescent="0.35">
      <c r="A259" s="103" t="str">
        <f ca="1">IF(EBR!H24&lt;&gt;"",EBR!H24,"")</f>
        <v>EBR_WEEE_co = WEEE_co / DW_co # kg WEEE/(GHz*bit (input)*s)</v>
      </c>
    </row>
    <row r="260" spans="1:1" x14ac:dyDescent="0.35">
      <c r="A260" s="103" t="str">
        <f ca="1">IF(EBR!H25&lt;&gt;"",EBR!H25,"")</f>
        <v>EBR_WEEE_me = WEEE_me / DW_me # kg WEEE/(Gigabyte (input)*s)</v>
      </c>
    </row>
    <row r="261" spans="1:1" x14ac:dyDescent="0.35">
      <c r="A261" s="103" t="str">
        <f ca="1">IF(EBR!H26&lt;&gt;"",EBR!H26,"")</f>
        <v>EBR_WEEE_st = WEEE_st / DW_st # kg WEEE/(Gigabyte (input)*s)</v>
      </c>
    </row>
    <row r="262" spans="1:1" x14ac:dyDescent="0.35">
      <c r="A262" s="103" t="str">
        <f ca="1">IF(EBR!H27&lt;&gt;"",EBR!H27,"")</f>
        <v>EBR_WEEE_tr = WEEE_tr / DW_tr # kg WEEE/(Megabit/s (input)*s)</v>
      </c>
    </row>
    <row r="263" spans="1:1" x14ac:dyDescent="0.35">
      <c r="A263" s="103" t="str">
        <f ca="1">IF(EBR!H28&lt;&gt;"",EBR!H28,"")</f>
        <v/>
      </c>
    </row>
    <row r="264" spans="1:1" x14ac:dyDescent="0.35">
      <c r="A264" s="103" t="str">
        <f ca="1">IF(EBR!H29&lt;&gt;"",EBR!H29,"")</f>
        <v>EBR_TOX_co = TOX_co / DW_co # kg MEG eq/(GHz*bit (input)*s)</v>
      </c>
    </row>
    <row r="265" spans="1:1" x14ac:dyDescent="0.35">
      <c r="A265" s="103" t="str">
        <f ca="1">IF(EBR!H30&lt;&gt;"",EBR!H30,"")</f>
        <v>EBR_TOX_me = TOX_me / DW_me # kg MEG eq/(Gigabyte (input)*s)</v>
      </c>
    </row>
    <row r="266" spans="1:1" x14ac:dyDescent="0.35">
      <c r="A266" s="103" t="str">
        <f ca="1">IF(EBR!H31&lt;&gt;"",EBR!H31,"")</f>
        <v>EBR_TOX_st = TOX_st / DW_st # kg MEG eq/(Gigabyte (input)*s)</v>
      </c>
    </row>
    <row r="267" spans="1:1" x14ac:dyDescent="0.35">
      <c r="A267" s="103" t="str">
        <f ca="1">IF(EBR!H32&lt;&gt;"",EBR!H32,"")</f>
        <v>EBR_TOX_tr = TOX_tr / DW_tr # kg MEG eq/(Megabit/s (input)*s)</v>
      </c>
    </row>
    <row r="268" spans="1:1" x14ac:dyDescent="0.35">
      <c r="A268" s="103" t="str">
        <f>IF(EBR!H33&lt;&gt;"",EBR!H33,"")</f>
        <v/>
      </c>
    </row>
    <row r="269" spans="1:1" x14ac:dyDescent="0.35">
      <c r="A269" s="103" t="str">
        <f>IF(EBR!H46&lt;&gt;"",EBR!H46,"")</f>
        <v># Aufwandskennzahlen für die Nutzungsphase</v>
      </c>
    </row>
    <row r="270" spans="1:1" x14ac:dyDescent="0.35">
      <c r="A270" s="103" t="str">
        <f>IF(EBR!H47&lt;&gt;"",EBR!H47,"")</f>
        <v/>
      </c>
    </row>
    <row r="271" spans="1:1" x14ac:dyDescent="0.35">
      <c r="A271" s="103" t="str">
        <f ca="1">IF(EBR!H48&lt;&gt;"",EBR!H48,"")</f>
        <v>EBR_P_co = P_brutto_average_co / DBR_co_average # W/(GHz*bit (input))</v>
      </c>
    </row>
    <row r="272" spans="1:1" x14ac:dyDescent="0.35">
      <c r="A272" s="103" t="str">
        <f ca="1">IF(EBR!H49&lt;&gt;"",EBR!H49,"")</f>
        <v>EBR_P_me = P_brutto_average_me / DBR_me_average # W/(Gigabyte (input))</v>
      </c>
    </row>
    <row r="273" spans="1:1" x14ac:dyDescent="0.35">
      <c r="A273" s="103" t="str">
        <f ca="1">IF(EBR!H50&lt;&gt;"",EBR!H50,"")</f>
        <v>EBR_P_st = P_brutto_average_st / DBR_st_average # W/(Gigabyte (input))</v>
      </c>
    </row>
    <row r="274" spans="1:1" x14ac:dyDescent="0.35">
      <c r="A274" s="103" t="str">
        <f ca="1">IF(EBR!H51&lt;&gt;"",EBR!H51,"")</f>
        <v>EBR_P_tr = P_brutto_average_tr / DBR_tr_average # W/(Megabit/s (input))</v>
      </c>
    </row>
    <row r="275" spans="1:1" x14ac:dyDescent="0.35">
      <c r="A275" s="130" t="s">
        <v>614</v>
      </c>
    </row>
    <row r="276" spans="1:1" x14ac:dyDescent="0.35">
      <c r="A276" s="103" t="str">
        <f>IF(EI_Software!H4&lt;&gt;"",EI_Software!H4,"")</f>
        <v># Messung eines Standardnutzungsszenarios</v>
      </c>
    </row>
    <row r="277" spans="1:1" x14ac:dyDescent="0.35">
      <c r="A277" s="103" t="str">
        <f>IF(EI_Software!H5&lt;&gt;"",EI_Software!H5,"")</f>
        <v/>
      </c>
    </row>
    <row r="278" spans="1:1" x14ac:dyDescent="0.35">
      <c r="A278" s="103" t="str">
        <f>IF(EI_Software!H6&lt;&gt;"",EI_Software!H6,"")</f>
        <v>time_execution = 86400 # s (input)</v>
      </c>
    </row>
    <row r="279" spans="1:1" x14ac:dyDescent="0.35">
      <c r="A279" s="103" t="str">
        <f>IF(EI_Software!H7&lt;&gt;"",EI_Software!H7,"")</f>
        <v/>
      </c>
    </row>
    <row r="280" spans="1:1" x14ac:dyDescent="0.35">
      <c r="A280" s="103" t="str">
        <f>IF(EI_Software!H8&lt;&gt;"",EI_Software!H8,"")</f>
        <v># Durchschnittliche Auslastung oder Belegung ohne die Ausführung der zu untersuchenden Software (Load_idle)</v>
      </c>
    </row>
    <row r="281" spans="1:1" x14ac:dyDescent="0.35">
      <c r="A281" s="103" t="str">
        <f>IF(EI_Software!H9&lt;&gt;"",EI_Software!H9,"")</f>
        <v/>
      </c>
    </row>
    <row r="282" spans="1:1" x14ac:dyDescent="0.35">
      <c r="A282" s="103" t="str">
        <f>IF(EI_Software!H10&lt;&gt;"",EI_Software!H10,"")</f>
        <v>Load_idle_CPU = 0.1 # [0...1] (input)</v>
      </c>
    </row>
    <row r="283" spans="1:1" x14ac:dyDescent="0.35">
      <c r="A283" s="103" t="str">
        <f>IF(EI_Software!H11&lt;&gt;"",EI_Software!H11,"")</f>
        <v>Load_idle_GPU = 0 # [0...1] (input) Achtung, GPU derzeit ignoriert</v>
      </c>
    </row>
    <row r="284" spans="1:1" x14ac:dyDescent="0.35">
      <c r="A284" s="103" t="str">
        <f>IF(EI_Software!H12&lt;&gt;"",EI_Software!H12,"")</f>
        <v>Load_idle_RAM = 0.05 # [0...1] (input)</v>
      </c>
    </row>
    <row r="285" spans="1:1" x14ac:dyDescent="0.35">
      <c r="A285" s="103" t="str">
        <f>IF(EI_Software!H13&lt;&gt;"",EI_Software!H13,"")</f>
        <v>Load_idle_SSDHDD = 0.25 # [0...1] (input)</v>
      </c>
    </row>
    <row r="286" spans="1:1" x14ac:dyDescent="0.35">
      <c r="A286" s="103" t="str">
        <f>IF(EI_Software!H14&lt;&gt;"",EI_Software!H14,"")</f>
        <v>Load_idle_NW = 0.01 # [0...1] (input)</v>
      </c>
    </row>
    <row r="287" spans="1:1" x14ac:dyDescent="0.35">
      <c r="A287" s="103" t="str">
        <f>IF(EI_Software!H15&lt;&gt;"",EI_Software!H15,"")</f>
        <v/>
      </c>
    </row>
    <row r="288" spans="1:1" x14ac:dyDescent="0.35">
      <c r="A288" s="103" t="str">
        <f>IF(EI_Software!H16&lt;&gt;"",EI_Software!H16,"")</f>
        <v># Durchschnittliche Brutto-Auslastung oder Belegung während der Ausführung der zu untersuchenden Software (Load_av_SW_gross)</v>
      </c>
    </row>
    <row r="289" spans="1:1" x14ac:dyDescent="0.35">
      <c r="A289" s="103" t="str">
        <f>IF(EI_Software!H17&lt;&gt;"",EI_Software!H17,"")</f>
        <v/>
      </c>
    </row>
    <row r="290" spans="1:1" x14ac:dyDescent="0.35">
      <c r="A290" s="103" t="str">
        <f>IF(EI_Software!H18&lt;&gt;"",EI_Software!H18,"")</f>
        <v>Load_av_SW_gross_CPU = 0.2 # [0...1] (input)</v>
      </c>
    </row>
    <row r="291" spans="1:1" x14ac:dyDescent="0.35">
      <c r="A291" s="103" t="str">
        <f>IF(EI_Software!H19&lt;&gt;"",EI_Software!H19,"")</f>
        <v>Load_av_SW_gross_GPU = 0 # [0...1] (input) Achtung, GPU derzeit ignoriert</v>
      </c>
    </row>
    <row r="292" spans="1:1" x14ac:dyDescent="0.35">
      <c r="A292" s="103" t="str">
        <f>IF(EI_Software!H20&lt;&gt;"",EI_Software!H20,"")</f>
        <v>Load_av_SW_gross_RAM = 0.1 # [0...1] (input)</v>
      </c>
    </row>
    <row r="293" spans="1:1" x14ac:dyDescent="0.35">
      <c r="A293" s="103" t="str">
        <f>IF(EI_Software!H21&lt;&gt;"",EI_Software!H21,"")</f>
        <v>Load_av_SW_gross_SSDHDD = 0.5 # [0...1] (input)</v>
      </c>
    </row>
    <row r="294" spans="1:1" x14ac:dyDescent="0.35">
      <c r="A294" s="103" t="str">
        <f>IF(EI_Software!H22&lt;&gt;"",EI_Software!H22,"")</f>
        <v>Load_av_SW_gross_NW = 0.02 # [0...1] (input)</v>
      </c>
    </row>
    <row r="295" spans="1:1" x14ac:dyDescent="0.35">
      <c r="A295" s="103" t="str">
        <f>IF(EI_Software!H23&lt;&gt;"",EI_Software!H23,"")</f>
        <v/>
      </c>
    </row>
    <row r="296" spans="1:1" x14ac:dyDescent="0.35">
      <c r="A296" s="103" t="str">
        <f>IF(EI_Software!H24&lt;&gt;"",EI_Software!H24,"")</f>
        <v># Durchschnittliche Netto-Auslastung oder Belegung während der Ausführung der zu untersuchenden Software (Load_av_SW_net)</v>
      </c>
    </row>
    <row r="297" spans="1:1" x14ac:dyDescent="0.35">
      <c r="A297" s="103" t="str">
        <f>IF(EI_Software!H25&lt;&gt;"",EI_Software!H25,"")</f>
        <v/>
      </c>
    </row>
    <row r="298" spans="1:1" x14ac:dyDescent="0.35">
      <c r="A298" s="103" t="str">
        <f ca="1">IF(EI_Software!H26&lt;&gt;"",EI_Software!H26,"")</f>
        <v>Load_av_SW_net_CPU = Load_av_SW_gross_CPU - Load_idle_CPU # [0...1]</v>
      </c>
    </row>
    <row r="299" spans="1:1" x14ac:dyDescent="0.35">
      <c r="A299" s="103" t="str">
        <f ca="1">IF(EI_Software!H27&lt;&gt;"",EI_Software!H27,"")</f>
        <v>Load_av_SW_net_GPU = Load_av_SW_gross_GPU - Load_idle_GPU # [0...1] Achtung, GPU derzeit ignoriert</v>
      </c>
    </row>
    <row r="300" spans="1:1" x14ac:dyDescent="0.35">
      <c r="A300" s="103" t="str">
        <f ca="1">IF(EI_Software!H28&lt;&gt;"",EI_Software!H28,"")</f>
        <v>Load_av_SW_net_RAM = Load_av_SW_gross_RAM - Load_idle_RAM # [0...1]</v>
      </c>
    </row>
    <row r="301" spans="1:1" x14ac:dyDescent="0.35">
      <c r="A301" s="103" t="str">
        <f ca="1">IF(EI_Software!H29&lt;&gt;"",EI_Software!H29,"")</f>
        <v>Load_av_SW_net_SSDHDD = Load_av_SW_gross_SSDHDD - Load_idle_SSDHDD # [0...1]</v>
      </c>
    </row>
    <row r="302" spans="1:1" x14ac:dyDescent="0.35">
      <c r="A302" s="103" t="str">
        <f ca="1">IF(EI_Software!H30&lt;&gt;"",EI_Software!H30,"")</f>
        <v>Load_av_SW_net_NW = Load_av_SW_gross_NW - Load_idle_NW # [0...1]</v>
      </c>
    </row>
    <row r="303" spans="1:1" x14ac:dyDescent="0.35">
      <c r="A303" s="103" t="str">
        <f>IF(EI_Software!H31&lt;&gt;"",EI_Software!H31,"")</f>
        <v/>
      </c>
    </row>
    <row r="304" spans="1:1" x14ac:dyDescent="0.35">
      <c r="A304" s="103" t="str">
        <f>IF(EI_Software!H32&lt;&gt;"",EI_Software!H32,"")</f>
        <v># Digitale Arbeit (DW = Load_average_net * DBR * time_execution)</v>
      </c>
    </row>
    <row r="305" spans="1:1" x14ac:dyDescent="0.35">
      <c r="A305" s="103" t="str">
        <f>IF(EI_Software!H33&lt;&gt;"",EI_Software!H33,"")</f>
        <v/>
      </c>
    </row>
    <row r="306" spans="1:1" x14ac:dyDescent="0.35">
      <c r="A306" s="103" t="str">
        <f ca="1">IF(EI_Software!H34&lt;&gt;"",EI_Software!H34,"")</f>
        <v>DW_SW_co = Load_av_SW_net_CPU * DBR_CPU * time_execution # GHz*bit (input)*s (alternative input)</v>
      </c>
    </row>
    <row r="307" spans="1:1" x14ac:dyDescent="0.35">
      <c r="A307" s="103" t="str">
        <f ca="1">IF(EI_Software!H35&lt;&gt;"",EI_Software!H35,"")</f>
        <v>DW_SW_me = Load_av_SW_net_RAM * DBR_RAM * time_execution # Gigabyte (input)*s (alternative input)</v>
      </c>
    </row>
    <row r="308" spans="1:1" x14ac:dyDescent="0.35">
      <c r="A308" s="103" t="str">
        <f ca="1">IF(EI_Software!H36&lt;&gt;"",EI_Software!H36,"")</f>
        <v>DW_SW_st = Load_av_SW_net_SSDHDD * DBR_SSDHDD * time_execution # Gigabyte (input)*s (alternative input)</v>
      </c>
    </row>
    <row r="309" spans="1:1" x14ac:dyDescent="0.35">
      <c r="A309" s="103" t="str">
        <f ca="1">IF(EI_Software!H37&lt;&gt;"",EI_Software!H37,"")</f>
        <v>DW_SW_tr = Load_av_SW_net_NW * DBR_NW * time_execution # GHz*bit (input)*s (alternative input)</v>
      </c>
    </row>
    <row r="310" spans="1:1" x14ac:dyDescent="0.35">
      <c r="A310" s="103" t="str">
        <f>IF(EI_Software!H38&lt;&gt;"",EI_Software!H38,"")</f>
        <v/>
      </c>
    </row>
    <row r="311" spans="1:1" x14ac:dyDescent="0.35">
      <c r="A311" s="103" t="str">
        <f>IF(EI_Software!H39&lt;&gt;"",EI_Software!H39,"")</f>
        <v># Umweltwirkungen der Software, anteiliger Herstellungsaufwand (Environmantal Impact EI_embedded)</v>
      </c>
    </row>
    <row r="312" spans="1:1" x14ac:dyDescent="0.35">
      <c r="A312" s="103" t="str">
        <f>IF(EI_Software!H40&lt;&gt;"",EI_Software!H40,"")</f>
        <v/>
      </c>
    </row>
    <row r="313" spans="1:1" x14ac:dyDescent="0.35">
      <c r="A313" s="103" t="str">
        <f>IF(EI_Software!H41&lt;&gt;"",EI_Software!H41,"")</f>
        <v/>
      </c>
    </row>
    <row r="314" spans="1:1" x14ac:dyDescent="0.35">
      <c r="A314" s="103" t="str">
        <f>IF(EI_Software!H42&lt;&gt;"",EI_Software!H42,"")</f>
        <v/>
      </c>
    </row>
    <row r="315" spans="1:1" x14ac:dyDescent="0.35">
      <c r="A315" s="103" t="str">
        <f ca="1">IF(EI_Software!H43&lt;&gt;"",EI_Software!H43,"")</f>
        <v>EI_CED_co_embedded = DW_SW_co * EBR_CED_co # MJ</v>
      </c>
    </row>
    <row r="316" spans="1:1" x14ac:dyDescent="0.35">
      <c r="A316" s="103" t="str">
        <f ca="1">IF(EI_Software!H44&lt;&gt;"",EI_Software!H44,"")</f>
        <v>EI_CED_me_embedded = DW_SW_me * EBR_CED_me # MJ</v>
      </c>
    </row>
    <row r="317" spans="1:1" x14ac:dyDescent="0.35">
      <c r="A317" s="103" t="str">
        <f ca="1">IF(EI_Software!H45&lt;&gt;"",EI_Software!H45,"")</f>
        <v>EI_CED_st_embedded = DW_SW_st * EBR_CED_st # MJ</v>
      </c>
    </row>
    <row r="318" spans="1:1" x14ac:dyDescent="0.35">
      <c r="A318" s="103" t="str">
        <f ca="1">IF(EI_Software!H46&lt;&gt;"",EI_Software!H46,"")</f>
        <v>EI_CED_tr_embedded = DW_SW_tr * EBR_CED_tr # MJ</v>
      </c>
    </row>
    <row r="319" spans="1:1" x14ac:dyDescent="0.35">
      <c r="A319" s="103" t="str">
        <f ca="1">IF(EI_Software!H47&lt;&gt;"",EI_Software!H47,"")</f>
        <v/>
      </c>
    </row>
    <row r="320" spans="1:1" x14ac:dyDescent="0.35">
      <c r="A320" s="103" t="str">
        <f ca="1">IF(EI_Software!H48&lt;&gt;"",EI_Software!H48,"")</f>
        <v>EI_GWP_co_embedded = DW_SW_co * EBR_GWP_co # kg CO2 eq</v>
      </c>
    </row>
    <row r="321" spans="1:1" x14ac:dyDescent="0.35">
      <c r="A321" s="103" t="str">
        <f ca="1">IF(EI_Software!H49&lt;&gt;"",EI_Software!H49,"")</f>
        <v>EI_GWP_me_embedded = DW_SW_me * EBR_GWP_me # kg CO2 eq</v>
      </c>
    </row>
    <row r="322" spans="1:1" x14ac:dyDescent="0.35">
      <c r="A322" s="103" t="str">
        <f ca="1">IF(EI_Software!H50&lt;&gt;"",EI_Software!H50,"")</f>
        <v>EI_GWP_st_embedded = DW_SW_st * EBR_GWP_st # kg CO2 eq</v>
      </c>
    </row>
    <row r="323" spans="1:1" x14ac:dyDescent="0.35">
      <c r="A323" s="103" t="str">
        <f ca="1">IF(EI_Software!H51&lt;&gt;"",EI_Software!H51,"")</f>
        <v>EI_GWP_tr_embedded = DW_SW_tr * EBR_GWP_tr # kg CO2 eq</v>
      </c>
    </row>
    <row r="324" spans="1:1" x14ac:dyDescent="0.35">
      <c r="A324" s="103" t="str">
        <f ca="1">IF(EI_Software!H52&lt;&gt;"",EI_Software!H52,"")</f>
        <v/>
      </c>
    </row>
    <row r="325" spans="1:1" x14ac:dyDescent="0.35">
      <c r="A325" s="103" t="str">
        <f ca="1">IF(EI_Software!H53&lt;&gt;"",EI_Software!H53,"")</f>
        <v>EI_ADP_co_embedded = DW_SW_co * EBR_ADP_co # kg Sb eq</v>
      </c>
    </row>
    <row r="326" spans="1:1" x14ac:dyDescent="0.35">
      <c r="A326" s="103" t="str">
        <f ca="1">IF(EI_Software!H54&lt;&gt;"",EI_Software!H54,"")</f>
        <v>EI_ADP_me_embedded = DW_SW_me * EBR_ADP_me # kg Sb eq</v>
      </c>
    </row>
    <row r="327" spans="1:1" x14ac:dyDescent="0.35">
      <c r="A327" s="103" t="str">
        <f ca="1">IF(EI_Software!H55&lt;&gt;"",EI_Software!H55,"")</f>
        <v>EI_ADP_st_embedded = DW_SW_st * EBR_ADP_st # kg Sb eq</v>
      </c>
    </row>
    <row r="328" spans="1:1" x14ac:dyDescent="0.35">
      <c r="A328" s="103" t="str">
        <f ca="1">IF(EI_Software!H56&lt;&gt;"",EI_Software!H56,"")</f>
        <v>EI_ADP_tr_embedded = DW_SW_tr * EBR_ADP_tr # kg Sb eq</v>
      </c>
    </row>
    <row r="329" spans="1:1" x14ac:dyDescent="0.35">
      <c r="A329" s="103" t="str">
        <f ca="1">IF(EI_Software!H57&lt;&gt;"",EI_Software!H57,"")</f>
        <v/>
      </c>
    </row>
    <row r="330" spans="1:1" x14ac:dyDescent="0.35">
      <c r="A330" s="103" t="str">
        <f ca="1">IF(EI_Software!H58&lt;&gt;"",EI_Software!H58,"")</f>
        <v>EI_Water_co_embedded = DW_SW_co * EBR_Water_co # m³ World eq</v>
      </c>
    </row>
    <row r="331" spans="1:1" x14ac:dyDescent="0.35">
      <c r="A331" s="103" t="str">
        <f ca="1">IF(EI_Software!H59&lt;&gt;"",EI_Software!H59,"")</f>
        <v>EI_Water_me_embedded = DW_SW_me * EBR_Water_me # m³ World eq</v>
      </c>
    </row>
    <row r="332" spans="1:1" x14ac:dyDescent="0.35">
      <c r="A332" s="103" t="str">
        <f ca="1">IF(EI_Software!H60&lt;&gt;"",EI_Software!H60,"")</f>
        <v>EI_Water_st_embedded = DW_SW_st * EBR_Water_st # m³ World eq</v>
      </c>
    </row>
    <row r="333" spans="1:1" x14ac:dyDescent="0.35">
      <c r="A333" s="103" t="str">
        <f ca="1">IF(EI_Software!H61&lt;&gt;"",EI_Software!H61,"")</f>
        <v>EI_Water_tr_embedded = DW_SW_tr * EBR_Water_tr # m³ World eq</v>
      </c>
    </row>
    <row r="334" spans="1:1" x14ac:dyDescent="0.35">
      <c r="A334" s="103" t="str">
        <f ca="1">IF(EI_Software!H62&lt;&gt;"",EI_Software!H62,"")</f>
        <v/>
      </c>
    </row>
    <row r="335" spans="1:1" x14ac:dyDescent="0.35">
      <c r="A335" s="103" t="str">
        <f ca="1">IF(EI_Software!H63&lt;&gt;"",EI_Software!H63,"")</f>
        <v>EI_WEEE_co_embedded = DW_SW_co * EBR_WEEE_co # kg WEEE</v>
      </c>
    </row>
    <row r="336" spans="1:1" x14ac:dyDescent="0.35">
      <c r="A336" s="103" t="str">
        <f ca="1">IF(EI_Software!H64&lt;&gt;"",EI_Software!H64,"")</f>
        <v>EI_WEEE_me_embedded = DW_SW_me * EBR_WEEE_me # kg WEEE</v>
      </c>
    </row>
    <row r="337" spans="1:1" x14ac:dyDescent="0.35">
      <c r="A337" s="103" t="str">
        <f ca="1">IF(EI_Software!H65&lt;&gt;"",EI_Software!H65,"")</f>
        <v>EI_WEEE_st_embedded = DW_SW_st * EBR_WEEE_st # kg WEEE</v>
      </c>
    </row>
    <row r="338" spans="1:1" x14ac:dyDescent="0.35">
      <c r="A338" s="103" t="str">
        <f ca="1">IF(EI_Software!H66&lt;&gt;"",EI_Software!H66,"")</f>
        <v>EI_WEEE_tr_embedded = DW_SW_tr * EBR_WEEE_tr # kg WEEE</v>
      </c>
    </row>
    <row r="339" spans="1:1" x14ac:dyDescent="0.35">
      <c r="A339" s="103" t="str">
        <f ca="1">IF(EI_Software!H67&lt;&gt;"",EI_Software!H67,"")</f>
        <v/>
      </c>
    </row>
    <row r="340" spans="1:1" x14ac:dyDescent="0.35">
      <c r="A340" s="103" t="str">
        <f ca="1">IF(EI_Software!H68&lt;&gt;"",EI_Software!H68,"")</f>
        <v>EI_TOX_co_embedded = DW_SW_co * EBR_TOX_co # kg MEG eq</v>
      </c>
    </row>
    <row r="341" spans="1:1" x14ac:dyDescent="0.35">
      <c r="A341" s="103" t="str">
        <f ca="1">IF(EI_Software!H69&lt;&gt;"",EI_Software!H69,"")</f>
        <v>EI_TOX_me_embedded = DW_SW_me * EBR_TOX_me # kg MEG eq</v>
      </c>
    </row>
    <row r="342" spans="1:1" x14ac:dyDescent="0.35">
      <c r="A342" s="103" t="str">
        <f ca="1">IF(EI_Software!H70&lt;&gt;"",EI_Software!H70,"")</f>
        <v>EI_TOX_st_embedded = DW_SW_st * EBR_TOX_st # kg MEG eq</v>
      </c>
    </row>
    <row r="343" spans="1:1" x14ac:dyDescent="0.35">
      <c r="A343" s="103" t="str">
        <f ca="1">IF(EI_Software!H71&lt;&gt;"",EI_Software!H71,"")</f>
        <v>EI_TOX_tr_embedded = DW_SW_tr * EBR_TOX_tr # kg MEG eq</v>
      </c>
    </row>
    <row r="344" spans="1:1" x14ac:dyDescent="0.35">
      <c r="A344" s="103" t="str">
        <f>IF(EI_Software!H72&lt;&gt;"",EI_Software!H72,"")</f>
        <v/>
      </c>
    </row>
    <row r="345" spans="1:1" x14ac:dyDescent="0.35">
      <c r="A345" s="103" t="str">
        <f>IF(EI_Software!H73&lt;&gt;"",EI_Software!H73,"")</f>
        <v># Energieverbrauch der Software bei der Ausführung</v>
      </c>
    </row>
    <row r="346" spans="1:1" x14ac:dyDescent="0.35">
      <c r="A346" s="103" t="str">
        <f>IF(EI_Software!H74&lt;&gt;"",EI_Software!H74,"")</f>
        <v/>
      </c>
    </row>
    <row r="347" spans="1:1" x14ac:dyDescent="0.35">
      <c r="A347" s="103" t="str">
        <f>IF(EI_Software!H75&lt;&gt;"",EI_Software!H75,"")</f>
        <v/>
      </c>
    </row>
    <row r="348" spans="1:1" x14ac:dyDescent="0.35">
      <c r="A348" s="103" t="str">
        <f>IF(EI_Software!H76&lt;&gt;"",EI_Software!H76,"")</f>
        <v/>
      </c>
    </row>
    <row r="349" spans="1:1" x14ac:dyDescent="0.35">
      <c r="A349" s="103" t="str">
        <f ca="1">IF(EI_Software!H77&lt;&gt;"",EI_Software!H77,"")</f>
        <v>E_co = DW_SW_co * EBR_P_co / 1000 / 3600 # kWh</v>
      </c>
    </row>
    <row r="350" spans="1:1" x14ac:dyDescent="0.35">
      <c r="A350" s="103" t="str">
        <f ca="1">IF(EI_Software!H78&lt;&gt;"",EI_Software!H78,"")</f>
        <v>E_me = DW_SW_me * EBR_P_me / 1000 / 3600 # kWh</v>
      </c>
    </row>
    <row r="351" spans="1:1" x14ac:dyDescent="0.35">
      <c r="A351" s="103" t="str">
        <f ca="1">IF(EI_Software!H79&lt;&gt;"",EI_Software!H79,"")</f>
        <v>E_st = DW_SW_st * EBR_P_st / 1000 / 3600 # kWh</v>
      </c>
    </row>
    <row r="352" spans="1:1" x14ac:dyDescent="0.35">
      <c r="A352" s="103" t="str">
        <f ca="1">IF(EI_Software!H80&lt;&gt;"",EI_Software!H80,"")</f>
        <v>E_tr = DW_SW_tr * EBR_P_tr / 1000 / 3600 # kWh</v>
      </c>
    </row>
    <row r="353" spans="1:1" x14ac:dyDescent="0.35">
      <c r="A353" s="103" t="str">
        <f>IF(EI_Software!H81&lt;&gt;"",EI_Software!H81,"")</f>
        <v/>
      </c>
    </row>
    <row r="354" spans="1:1" x14ac:dyDescent="0.35">
      <c r="A354" s="103" t="str">
        <f>IF(EI_Software!H82&lt;&gt;"",EI_Software!H82,"")</f>
        <v># Umweltwirkung der Software bei der Ausführung durch Stromverbrauch</v>
      </c>
    </row>
    <row r="355" spans="1:1" x14ac:dyDescent="0.35">
      <c r="A355" s="103" t="str">
        <f>IF(EI_Software!H95&lt;&gt;"",EI_Software!H95,"")</f>
        <v/>
      </c>
    </row>
    <row r="356" spans="1:1" x14ac:dyDescent="0.35">
      <c r="A356" s="103" t="str">
        <f>IF(EI_Software!H96&lt;&gt;"",EI_Software!H96,"")</f>
        <v># Emissionsfaktoren für elektrische Energie</v>
      </c>
    </row>
    <row r="357" spans="1:1" x14ac:dyDescent="0.35">
      <c r="A357" s="103" t="str">
        <f>IF(EI_Software!H97&lt;&gt;"",EI_Software!H97,"")</f>
        <v/>
      </c>
    </row>
    <row r="358" spans="1:1" x14ac:dyDescent="0.35">
      <c r="A358" s="103" t="str">
        <f>IF(EI_Software!H98&lt;&gt;"",EI_Software!H98,"")</f>
        <v>EF_CED = 8.37 # [MJ/kWhel]</v>
      </c>
    </row>
    <row r="359" spans="1:1" x14ac:dyDescent="0.35">
      <c r="A359" s="103" t="str">
        <f>IF(EI_Software!H99&lt;&gt;"",EI_Software!H99,"")</f>
        <v>EF_GWP = 0.421 # [kg CO2e/kWhel]</v>
      </c>
    </row>
    <row r="360" spans="1:1" x14ac:dyDescent="0.35">
      <c r="A360" s="103" t="str">
        <f>IF(EI_Software!H100&lt;&gt;"",EI_Software!H100,"")</f>
        <v>EF_ADP = 0.00000524 # [kg Sb eq/kWhel]</v>
      </c>
    </row>
    <row r="361" spans="1:1" x14ac:dyDescent="0.35">
      <c r="A361" s="103" t="str">
        <f>IF(EI_Software!H101&lt;&gt;"",EI_Software!H101,"")</f>
        <v>EF_Water = 0.239 # [m³ world eq/kWhel]</v>
      </c>
    </row>
    <row r="362" spans="1:1" x14ac:dyDescent="0.35">
      <c r="A362" s="103" t="str">
        <f>IF(EI_Software!H102&lt;&gt;"",EI_Software!H102,"")</f>
        <v>EF_WEEE = 0 # [kgWEEE/kWhel]</v>
      </c>
    </row>
    <row r="363" spans="1:1" x14ac:dyDescent="0.35">
      <c r="A363" s="103" t="str">
        <f>IF(EI_Software!H103&lt;&gt;"",EI_Software!H103,"")</f>
        <v>EF_TOX = 0 # [kg MEG eq/kWhel]</v>
      </c>
    </row>
    <row r="364" spans="1:1" x14ac:dyDescent="0.35">
      <c r="A364" s="103" t="str">
        <f>IF(EI_Software!H104&lt;&gt;"",EI_Software!H104,"")</f>
        <v/>
      </c>
    </row>
    <row r="365" spans="1:1" x14ac:dyDescent="0.35">
      <c r="A365" s="103" t="str">
        <f>IF(EI_Software!H105&lt;&gt;"",EI_Software!H105,"")</f>
        <v># Umrechnung Stromverbrauch in EI</v>
      </c>
    </row>
    <row r="366" spans="1:1" x14ac:dyDescent="0.35">
      <c r="A366" s="103" t="str">
        <f>IF(EI_Software!H106&lt;&gt;"",EI_Software!H106,"")</f>
        <v/>
      </c>
    </row>
    <row r="367" spans="1:1" x14ac:dyDescent="0.35">
      <c r="A367" s="103" t="str">
        <f>IF(EI_Software!H107&lt;&gt;"",EI_Software!H107,"")</f>
        <v/>
      </c>
    </row>
    <row r="368" spans="1:1" x14ac:dyDescent="0.35">
      <c r="A368" s="103" t="str">
        <f>IF(EI_Software!H108&lt;&gt;"",EI_Software!H108,"")</f>
        <v/>
      </c>
    </row>
    <row r="369" spans="1:1" x14ac:dyDescent="0.35">
      <c r="A369" s="103" t="str">
        <f ca="1">IF(EI_Software!H109&lt;&gt;"",EI_Software!H109,"")</f>
        <v>EI_CED_co_usephase = EF_CED * E_co # MJ</v>
      </c>
    </row>
    <row r="370" spans="1:1" x14ac:dyDescent="0.35">
      <c r="A370" s="103" t="str">
        <f ca="1">IF(EI_Software!H110&lt;&gt;"",EI_Software!H110,"")</f>
        <v>EI_CED_me_usephase = EF_CED * E_me # MJ</v>
      </c>
    </row>
    <row r="371" spans="1:1" x14ac:dyDescent="0.35">
      <c r="A371" s="103" t="str">
        <f ca="1">IF(EI_Software!H111&lt;&gt;"",EI_Software!H111,"")</f>
        <v>EI_CED_st_usephase = EF_CED * E_st # MJ</v>
      </c>
    </row>
    <row r="372" spans="1:1" x14ac:dyDescent="0.35">
      <c r="A372" s="103" t="str">
        <f ca="1">IF(EI_Software!H112&lt;&gt;"",EI_Software!H112,"")</f>
        <v>EI_CED_tr_usephase = EF_CED * E_tr # MJ</v>
      </c>
    </row>
    <row r="373" spans="1:1" x14ac:dyDescent="0.35">
      <c r="A373" s="103" t="str">
        <f ca="1">IF(EI_Software!H113&lt;&gt;"",EI_Software!H113,"")</f>
        <v/>
      </c>
    </row>
    <row r="374" spans="1:1" x14ac:dyDescent="0.35">
      <c r="A374" s="103" t="str">
        <f ca="1">IF(EI_Software!H114&lt;&gt;"",EI_Software!H114,"")</f>
        <v>EI_GWP_co_usephase = EF_GWP * E_co # kg CO2 eq</v>
      </c>
    </row>
    <row r="375" spans="1:1" x14ac:dyDescent="0.35">
      <c r="A375" s="103" t="str">
        <f ca="1">IF(EI_Software!H115&lt;&gt;"",EI_Software!H115,"")</f>
        <v>EI_GWP_me_usephase = EF_GWP * E_me # kg CO2 eq</v>
      </c>
    </row>
    <row r="376" spans="1:1" x14ac:dyDescent="0.35">
      <c r="A376" s="103" t="str">
        <f ca="1">IF(EI_Software!H116&lt;&gt;"",EI_Software!H116,"")</f>
        <v>EI_GWP_st_usephase = EF_GWP * E_st # kg CO2 eq</v>
      </c>
    </row>
    <row r="377" spans="1:1" x14ac:dyDescent="0.35">
      <c r="A377" s="103" t="str">
        <f ca="1">IF(EI_Software!H117&lt;&gt;"",EI_Software!H117,"")</f>
        <v>EI_GWP_tr_usephase = EF_GWP * E_tr # kg CO2 eq</v>
      </c>
    </row>
    <row r="378" spans="1:1" x14ac:dyDescent="0.35">
      <c r="A378" s="103" t="str">
        <f ca="1">IF(EI_Software!H118&lt;&gt;"",EI_Software!H118,"")</f>
        <v/>
      </c>
    </row>
    <row r="379" spans="1:1" x14ac:dyDescent="0.35">
      <c r="A379" s="103" t="str">
        <f ca="1">IF(EI_Software!H119&lt;&gt;"",EI_Software!H119,"")</f>
        <v>EI_ADP_co_usephase = EF_ADP * E_co # kg Sb eq</v>
      </c>
    </row>
    <row r="380" spans="1:1" x14ac:dyDescent="0.35">
      <c r="A380" s="103" t="str">
        <f ca="1">IF(EI_Software!H120&lt;&gt;"",EI_Software!H120,"")</f>
        <v>EI_ADP_me_usephase = EF_ADP * E_me # kg Sb eq</v>
      </c>
    </row>
    <row r="381" spans="1:1" x14ac:dyDescent="0.35">
      <c r="A381" s="103" t="str">
        <f ca="1">IF(EI_Software!H121&lt;&gt;"",EI_Software!H121,"")</f>
        <v>EI_ADP_st_usephase = EF_ADP * E_st # kg Sb eq</v>
      </c>
    </row>
    <row r="382" spans="1:1" x14ac:dyDescent="0.35">
      <c r="A382" s="103" t="str">
        <f ca="1">IF(EI_Software!H122&lt;&gt;"",EI_Software!H122,"")</f>
        <v>EI_ADP_tr_usephase = EF_ADP * E_tr # kg Sb eq</v>
      </c>
    </row>
    <row r="383" spans="1:1" x14ac:dyDescent="0.35">
      <c r="A383" s="103" t="str">
        <f ca="1">IF(EI_Software!H123&lt;&gt;"",EI_Software!H123,"")</f>
        <v/>
      </c>
    </row>
    <row r="384" spans="1:1" x14ac:dyDescent="0.35">
      <c r="A384" s="103" t="str">
        <f ca="1">IF(EI_Software!H124&lt;&gt;"",EI_Software!H124,"")</f>
        <v>EI_Water_co_usephase = EF_Water * E_co # m³ World eq</v>
      </c>
    </row>
    <row r="385" spans="1:1" x14ac:dyDescent="0.35">
      <c r="A385" s="103" t="str">
        <f ca="1">IF(EI_Software!H125&lt;&gt;"",EI_Software!H125,"")</f>
        <v>EI_Water_me_usephase = EF_Water * E_me # m³ World eq</v>
      </c>
    </row>
    <row r="386" spans="1:1" x14ac:dyDescent="0.35">
      <c r="A386" s="103" t="str">
        <f ca="1">IF(EI_Software!H126&lt;&gt;"",EI_Software!H126,"")</f>
        <v>EI_Water_st_usephase = EF_Water * E_st # m³ World eq</v>
      </c>
    </row>
    <row r="387" spans="1:1" x14ac:dyDescent="0.35">
      <c r="A387" s="103" t="str">
        <f ca="1">IF(EI_Software!H127&lt;&gt;"",EI_Software!H127,"")</f>
        <v>EI_Water_tr_usephase = EF_Water * E_tr # m³ World eq</v>
      </c>
    </row>
    <row r="388" spans="1:1" x14ac:dyDescent="0.35">
      <c r="A388" s="103" t="str">
        <f ca="1">IF(EI_Software!H128&lt;&gt;"",EI_Software!H128,"")</f>
        <v/>
      </c>
    </row>
    <row r="389" spans="1:1" x14ac:dyDescent="0.35">
      <c r="A389" s="103" t="str">
        <f ca="1">IF(EI_Software!H129&lt;&gt;"",EI_Software!H129,"")</f>
        <v>EI_WEEE_co_usephase = EF_WEEE * E_co # kg WEEE</v>
      </c>
    </row>
    <row r="390" spans="1:1" x14ac:dyDescent="0.35">
      <c r="A390" s="103" t="str">
        <f ca="1">IF(EI_Software!H130&lt;&gt;"",EI_Software!H130,"")</f>
        <v>EI_WEEE_me_usephase = EF_WEEE * E_me # kg WEEE</v>
      </c>
    </row>
    <row r="391" spans="1:1" x14ac:dyDescent="0.35">
      <c r="A391" s="103" t="str">
        <f ca="1">IF(EI_Software!H131&lt;&gt;"",EI_Software!H131,"")</f>
        <v>EI_WEEE_st_usephase = EF_WEEE * E_st # kg WEEE</v>
      </c>
    </row>
    <row r="392" spans="1:1" x14ac:dyDescent="0.35">
      <c r="A392" s="103" t="str">
        <f ca="1">IF(EI_Software!H132&lt;&gt;"",EI_Software!H132,"")</f>
        <v>EI_WEEE_tr_usephase = EF_WEEE * E_tr # kg WEEE</v>
      </c>
    </row>
    <row r="393" spans="1:1" x14ac:dyDescent="0.35">
      <c r="A393" s="103" t="str">
        <f>IF(EI_Software!H133&lt;&gt;"",EI_Software!H133,"")</f>
        <v/>
      </c>
    </row>
    <row r="394" spans="1:1" x14ac:dyDescent="0.35">
      <c r="A394" s="103" t="str">
        <f ca="1">IF(EI_Software!H134&lt;&gt;"",EI_Software!H134,"")</f>
        <v>EI_TOX_co_usephase = EF_TOX * E_co # kg MEG eq</v>
      </c>
    </row>
    <row r="395" spans="1:1" x14ac:dyDescent="0.35">
      <c r="A395" s="103" t="str">
        <f ca="1">IF(EI_Software!H135&lt;&gt;"",EI_Software!H135,"")</f>
        <v>EI_TOX_me_usephase = EF_TOX * E_me # kg MEG eq</v>
      </c>
    </row>
    <row r="396" spans="1:1" x14ac:dyDescent="0.35">
      <c r="A396" s="103" t="str">
        <f ca="1">IF(EI_Software!H136&lt;&gt;"",EI_Software!H136,"")</f>
        <v>EI_TOX_st_usephase = EF_TOX * E_st # kg MEG eq</v>
      </c>
    </row>
    <row r="397" spans="1:1" x14ac:dyDescent="0.35">
      <c r="A397" s="103" t="str">
        <f ca="1">IF(EI_Software!H137&lt;&gt;"",EI_Software!H137,"")</f>
        <v>EI_TOX_tr_usephase = EF_TOX * E_tr # kg MEG eq</v>
      </c>
    </row>
    <row r="398" spans="1:1" x14ac:dyDescent="0.35">
      <c r="A398" s="103" t="str">
        <f>IF(EI_Software!H138&lt;&gt;"",EI_Software!H138,"")</f>
        <v/>
      </c>
    </row>
    <row r="399" spans="1:1" x14ac:dyDescent="0.35">
      <c r="A399" s="103" t="str">
        <f>IF(EI_Software!H139&lt;&gt;"",EI_Software!H139,"")</f>
        <v># 	Umweltwirkungen der Software durch Hardware-Herstellung und Nutzungsphase</v>
      </c>
    </row>
    <row r="400" spans="1:1" x14ac:dyDescent="0.35">
      <c r="A400" s="103" t="str">
        <f>IF(EI_Software!H140&lt;&gt;"",EI_Software!H140,"")</f>
        <v/>
      </c>
    </row>
    <row r="401" spans="1:1" x14ac:dyDescent="0.35">
      <c r="A401" s="103" t="str">
        <f>IF(EI_Software!H141&lt;&gt;"",EI_Software!H141,"")</f>
        <v/>
      </c>
    </row>
    <row r="402" spans="1:1" x14ac:dyDescent="0.35">
      <c r="A402" s="103" t="str">
        <f ca="1">IF(EI_Software!H142&lt;&gt;"",EI_Software!H142,"")</f>
        <v>EI_CED_co = EI_CED_co_embedded + EI_CED_co_usephase # MJ</v>
      </c>
    </row>
    <row r="403" spans="1:1" x14ac:dyDescent="0.35">
      <c r="A403" s="103" t="str">
        <f ca="1">IF(EI_Software!H143&lt;&gt;"",EI_Software!H143,"")</f>
        <v>EI_CED_me = EI_CED_me_embedded + EI_CED_me_usephase # MJ</v>
      </c>
    </row>
    <row r="404" spans="1:1" x14ac:dyDescent="0.35">
      <c r="A404" s="103" t="str">
        <f ca="1">IF(EI_Software!H144&lt;&gt;"",EI_Software!H144,"")</f>
        <v>EI_CED_st = EI_CED_st_embedded + EI_CED_st_usephase # MJ</v>
      </c>
    </row>
    <row r="405" spans="1:1" x14ac:dyDescent="0.35">
      <c r="A405" s="103" t="str">
        <f ca="1">IF(EI_Software!H145&lt;&gt;"",EI_Software!H145,"")</f>
        <v>EI_CED_tr = EI_CED_tr_embedded + EI_CED_tr_usephase # MJ</v>
      </c>
    </row>
    <row r="406" spans="1:1" x14ac:dyDescent="0.35">
      <c r="A406" s="103" t="str">
        <f ca="1">IF(EI_Software!H146&lt;&gt;"",EI_Software!H146,"")</f>
        <v/>
      </c>
    </row>
    <row r="407" spans="1:1" x14ac:dyDescent="0.35">
      <c r="A407" s="103" t="str">
        <f ca="1">IF(EI_Software!H147&lt;&gt;"",EI_Software!H147,"")</f>
        <v>EI_GWP_co = EI_GWP_co_embedded + EI_GWP_co_usephase # kg CO2 eq</v>
      </c>
    </row>
    <row r="408" spans="1:1" x14ac:dyDescent="0.35">
      <c r="A408" s="103" t="str">
        <f ca="1">IF(EI_Software!H148&lt;&gt;"",EI_Software!H148,"")</f>
        <v>EI_GWP_me = EI_GWP_me_embedded + EI_GWP_me_usephase # kg CO2 eq</v>
      </c>
    </row>
    <row r="409" spans="1:1" x14ac:dyDescent="0.35">
      <c r="A409" s="103" t="str">
        <f ca="1">IF(EI_Software!H149&lt;&gt;"",EI_Software!H149,"")</f>
        <v>EI_GWP_st = EI_GWP_st_embedded + EI_GWP_st_usephase # kg CO2 eq</v>
      </c>
    </row>
    <row r="410" spans="1:1" x14ac:dyDescent="0.35">
      <c r="A410" s="103" t="str">
        <f ca="1">IF(EI_Software!H150&lt;&gt;"",EI_Software!H150,"")</f>
        <v>EI_GWP_tr = EI_GWP_tr_embedded + EI_GWP_tr_usephase # kg CO2 eq</v>
      </c>
    </row>
    <row r="411" spans="1:1" x14ac:dyDescent="0.35">
      <c r="A411" s="103" t="str">
        <f ca="1">IF(EI_Software!H151&lt;&gt;"",EI_Software!H151,"")</f>
        <v/>
      </c>
    </row>
    <row r="412" spans="1:1" x14ac:dyDescent="0.35">
      <c r="A412" s="103" t="str">
        <f ca="1">IF(EI_Software!H152&lt;&gt;"",EI_Software!H152,"")</f>
        <v>EI_ADP_co = EI_ADP_co_embedded + EI_ADP_co_usephase # kg Sb eq</v>
      </c>
    </row>
    <row r="413" spans="1:1" x14ac:dyDescent="0.35">
      <c r="A413" s="103" t="str">
        <f ca="1">IF(EI_Software!H153&lt;&gt;"",EI_Software!H153,"")</f>
        <v>EI_ADP_me = EI_ADP_me_embedded + EI_ADP_me_usephase # kg Sb eq</v>
      </c>
    </row>
    <row r="414" spans="1:1" x14ac:dyDescent="0.35">
      <c r="A414" s="103" t="str">
        <f ca="1">IF(EI_Software!H154&lt;&gt;"",EI_Software!H154,"")</f>
        <v>EI_ADP_st = EI_ADP_st_embedded + EI_ADP_st_usephase # kg Sb eq</v>
      </c>
    </row>
    <row r="415" spans="1:1" x14ac:dyDescent="0.35">
      <c r="A415" s="103" t="str">
        <f ca="1">IF(EI_Software!H155&lt;&gt;"",EI_Software!H155,"")</f>
        <v>EI_ADP_tr = EI_ADP_tr_embedded + EI_ADP_tr_usephase # kg Sb eq</v>
      </c>
    </row>
    <row r="416" spans="1:1" x14ac:dyDescent="0.35">
      <c r="A416" s="103" t="str">
        <f ca="1">IF(EI_Software!H156&lt;&gt;"",EI_Software!H156,"")</f>
        <v/>
      </c>
    </row>
    <row r="417" spans="1:1" x14ac:dyDescent="0.35">
      <c r="A417" s="103" t="str">
        <f ca="1">IF(EI_Software!H157&lt;&gt;"",EI_Software!H157,"")</f>
        <v>EI_Water_co = EI_Water_co_embedded + EI_Water_co_usephase # m³ World eq</v>
      </c>
    </row>
    <row r="418" spans="1:1" x14ac:dyDescent="0.35">
      <c r="A418" s="103" t="str">
        <f ca="1">IF(EI_Software!H158&lt;&gt;"",EI_Software!H158,"")</f>
        <v>EI_Water_me = EI_Water_me_embedded + EI_Water_me_usephase # m³ World eq</v>
      </c>
    </row>
    <row r="419" spans="1:1" x14ac:dyDescent="0.35">
      <c r="A419" s="103" t="str">
        <f ca="1">IF(EI_Software!H159&lt;&gt;"",EI_Software!H159,"")</f>
        <v>EI_Water_st = EI_Water_st_embedded + EI_Water_st_usephase # m³ World eq</v>
      </c>
    </row>
    <row r="420" spans="1:1" x14ac:dyDescent="0.35">
      <c r="A420" s="103" t="str">
        <f ca="1">IF(EI_Software!H160&lt;&gt;"",EI_Software!H160,"")</f>
        <v>EI_Water_tr = EI_Water_tr_embedded + EI_Water_tr_usephase # m³ World eq</v>
      </c>
    </row>
    <row r="421" spans="1:1" x14ac:dyDescent="0.35">
      <c r="A421" s="103" t="str">
        <f ca="1">IF(EI_Software!H161&lt;&gt;"",EI_Software!H161,"")</f>
        <v/>
      </c>
    </row>
    <row r="422" spans="1:1" x14ac:dyDescent="0.35">
      <c r="A422" s="103" t="str">
        <f ca="1">IF(EI_Software!H162&lt;&gt;"",EI_Software!H162,"")</f>
        <v>EI_WEEE_co = EI_WEEE_co_embedded + EI_WEEE_co_usephase # kg WEEE</v>
      </c>
    </row>
    <row r="423" spans="1:1" x14ac:dyDescent="0.35">
      <c r="A423" s="103" t="str">
        <f ca="1">IF(EI_Software!H163&lt;&gt;"",EI_Software!H163,"")</f>
        <v>EI_WEEE_me = EI_WEEE_me_embedded + EI_WEEE_me_usephase # kg WEEE</v>
      </c>
    </row>
    <row r="424" spans="1:1" x14ac:dyDescent="0.35">
      <c r="A424" s="103" t="str">
        <f ca="1">IF(EI_Software!H164&lt;&gt;"",EI_Software!H164,"")</f>
        <v>EI_WEEE_st = EI_WEEE_st_embedded + EI_WEEE_st_usephase # kg WEEE</v>
      </c>
    </row>
    <row r="425" spans="1:1" x14ac:dyDescent="0.35">
      <c r="A425" s="103" t="str">
        <f ca="1">IF(EI_Software!H165&lt;&gt;"",EI_Software!H165,"")</f>
        <v>EI_WEEE_tr = EI_WEEE_tr_embedded + EI_WEEE_tr_usephase # kg WEEE</v>
      </c>
    </row>
    <row r="426" spans="1:1" x14ac:dyDescent="0.35">
      <c r="A426" s="103" t="str">
        <f>IF(EI_Software!H166&lt;&gt;"",EI_Software!H166,"")</f>
        <v/>
      </c>
    </row>
    <row r="427" spans="1:1" x14ac:dyDescent="0.35">
      <c r="A427" s="103" t="str">
        <f ca="1">IF(EI_Software!H167&lt;&gt;"",EI_Software!H167,"")</f>
        <v>EI_TOX_co = EI_TOX_co_embedded + EI_TOX_co_usephase # kg MEG eq</v>
      </c>
    </row>
    <row r="428" spans="1:1" x14ac:dyDescent="0.35">
      <c r="A428" s="103" t="str">
        <f ca="1">IF(EI_Software!H168&lt;&gt;"",EI_Software!H168,"")</f>
        <v>EI_TOX_me = EI_TOX_me_embedded + EI_TOX_me_usephase # kg MEG eq</v>
      </c>
    </row>
    <row r="429" spans="1:1" x14ac:dyDescent="0.35">
      <c r="A429" s="103" t="str">
        <f ca="1">IF(EI_Software!H169&lt;&gt;"",EI_Software!H169,"")</f>
        <v>EI_TOX_st = EI_TOX_st_embedded + EI_TOX_st_usephase # kg MEG eq</v>
      </c>
    </row>
    <row r="430" spans="1:1" x14ac:dyDescent="0.35">
      <c r="A430" s="103" t="str">
        <f ca="1">IF(EI_Software!H170&lt;&gt;"",EI_Software!H170,"")</f>
        <v>EI_TOX_tr = EI_TOX_tr_embedded + EI_TOX_tr_usephase # kg MEG eq</v>
      </c>
    </row>
    <row r="431" spans="1:1" x14ac:dyDescent="0.35">
      <c r="A431" s="103" t="str">
        <f>IF(EI_Software!H171&lt;&gt;"",EI_Software!H171,"")</f>
        <v/>
      </c>
    </row>
    <row r="432" spans="1:1" x14ac:dyDescent="0.35">
      <c r="A432" s="103" t="str">
        <f>IF(EI_Software!H172&lt;&gt;"",EI_Software!H172,"")</f>
        <v># Summenbildung (ohne Differenzierung in einzelne DBR)</v>
      </c>
    </row>
    <row r="433" spans="1:1" x14ac:dyDescent="0.35">
      <c r="A433" s="103" t="str">
        <f>IF(EI_Software!H173&lt;&gt;"",EI_Software!H173,"")</f>
        <v/>
      </c>
    </row>
    <row r="434" spans="1:1" x14ac:dyDescent="0.35">
      <c r="A434" s="103" t="str">
        <f ca="1">IF(EI_Software!H174&lt;&gt;"",EI_Software!H174,"")</f>
        <v>EI_CED = EI_CED_co + EI_CED_me + EI_CED_st + EI_CED_tr # MJ</v>
      </c>
    </row>
    <row r="435" spans="1:1" x14ac:dyDescent="0.35">
      <c r="A435" s="103" t="str">
        <f ca="1">IF(EI_Software!H175&lt;&gt;"",EI_Software!H175,"")</f>
        <v>EI_GWP = EI_GWP_co + EI_GWP_me + EI_GWP_st + EI_GWP_tr # kg CO2 eq</v>
      </c>
    </row>
    <row r="436" spans="1:1" x14ac:dyDescent="0.35">
      <c r="A436" s="103" t="str">
        <f ca="1">IF(EI_Software!H176&lt;&gt;"",EI_Software!H176,"")</f>
        <v>EI_ADP = EI_ADP_co + EI_ADP_me + EI_ADP_st + EI_ADP_tr # kg Sb eq</v>
      </c>
    </row>
    <row r="437" spans="1:1" x14ac:dyDescent="0.35">
      <c r="A437" s="103" t="str">
        <f ca="1">IF(EI_Software!H177&lt;&gt;"",EI_Software!H177,"")</f>
        <v>EI_Water = EI_Water_co + EI_Water_me + EI_Water_st + EI_Water_tr # m³ World eq</v>
      </c>
    </row>
    <row r="438" spans="1:1" x14ac:dyDescent="0.35">
      <c r="A438" s="103" t="str">
        <f ca="1">IF(EI_Software!H178&lt;&gt;"",EI_Software!H178,"")</f>
        <v>EI_WEEE = EI_WEEE_co + EI_WEEE_me + EI_WEEE_st + EI_WEEE_tr # kg WEEE</v>
      </c>
    </row>
    <row r="439" spans="1:1" x14ac:dyDescent="0.35">
      <c r="A439" s="103" t="str">
        <f ca="1">IF(EI_Software!H179&lt;&gt;"",EI_Software!H179,"")</f>
        <v>EI_TOX = EI_TOX_co + EI_TOX_me + EI_TOX_st + EI_TOX_tr # kg MEG eq</v>
      </c>
    </row>
    <row r="440" spans="1:1" x14ac:dyDescent="0.35">
      <c r="A440" s="130" t="s">
        <v>614</v>
      </c>
    </row>
    <row r="441" spans="1:1" x14ac:dyDescent="0.35">
      <c r="A441" s="103" t="s">
        <v>613</v>
      </c>
    </row>
    <row r="442" spans="1:1" x14ac:dyDescent="0.35">
      <c r="A442" s="103" t="s">
        <v>559</v>
      </c>
    </row>
    <row r="443" spans="1:1" x14ac:dyDescent="0.35">
      <c r="A443" s="103" t="s">
        <v>561</v>
      </c>
    </row>
    <row r="444" spans="1:1" x14ac:dyDescent="0.35">
      <c r="A444" s="103" t="s">
        <v>562</v>
      </c>
    </row>
    <row r="445" spans="1:1" x14ac:dyDescent="0.35">
      <c r="A445" s="103" t="s">
        <v>563</v>
      </c>
    </row>
    <row r="446" spans="1:1" x14ac:dyDescent="0.35">
      <c r="A446" s="103" t="s">
        <v>564</v>
      </c>
    </row>
    <row r="447" spans="1:1" x14ac:dyDescent="0.35">
      <c r="A447" s="103" t="s">
        <v>565</v>
      </c>
    </row>
  </sheetData>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9</vt:i4>
      </vt:variant>
      <vt:variant>
        <vt:lpstr>Benannte Bereiche</vt:lpstr>
      </vt:variant>
      <vt:variant>
        <vt:i4>319</vt:i4>
      </vt:variant>
    </vt:vector>
  </HeadingPairs>
  <TitlesOfParts>
    <vt:vector size="328" baseType="lpstr">
      <vt:lpstr>Info</vt:lpstr>
      <vt:lpstr>HW_Embedded</vt:lpstr>
      <vt:lpstr>HW_Usephase</vt:lpstr>
      <vt:lpstr>HW_Benefit</vt:lpstr>
      <vt:lpstr>EBR</vt:lpstr>
      <vt:lpstr>platform_profile</vt:lpstr>
      <vt:lpstr>EI_Software</vt:lpstr>
      <vt:lpstr>Grafiken</vt:lpstr>
      <vt:lpstr>Kopiervorlage code</vt:lpstr>
      <vt:lpstr>ADP_AssTest</vt:lpstr>
      <vt:lpstr>ADP_Chassis</vt:lpstr>
      <vt:lpstr>ADP_co</vt:lpstr>
      <vt:lpstr>ADP_CPU</vt:lpstr>
      <vt:lpstr>ADP_el</vt:lpstr>
      <vt:lpstr>ADP_GPU</vt:lpstr>
      <vt:lpstr>ADP_HDD</vt:lpstr>
      <vt:lpstr>ADP_me</vt:lpstr>
      <vt:lpstr>ADP_PCB</vt:lpstr>
      <vt:lpstr>ADP_Ports</vt:lpstr>
      <vt:lpstr>ADP_PSUetc</vt:lpstr>
      <vt:lpstr>ADP_RAM</vt:lpstr>
      <vt:lpstr>ADP_SSD</vt:lpstr>
      <vt:lpstr>ADP_st</vt:lpstr>
      <vt:lpstr>ADP_Sum</vt:lpstr>
      <vt:lpstr>ADP_tr</vt:lpstr>
      <vt:lpstr>CED_AssTest</vt:lpstr>
      <vt:lpstr>CED_Chassis</vt:lpstr>
      <vt:lpstr>CED_co</vt:lpstr>
      <vt:lpstr>CED_CPU</vt:lpstr>
      <vt:lpstr>CED_el</vt:lpstr>
      <vt:lpstr>CED_GPU</vt:lpstr>
      <vt:lpstr>CED_HDD</vt:lpstr>
      <vt:lpstr>CED_me</vt:lpstr>
      <vt:lpstr>CED_PCB</vt:lpstr>
      <vt:lpstr>CED_Ports</vt:lpstr>
      <vt:lpstr>CED_PSUetc</vt:lpstr>
      <vt:lpstr>CED_RAM</vt:lpstr>
      <vt:lpstr>CED_SSD</vt:lpstr>
      <vt:lpstr>CED_st</vt:lpstr>
      <vt:lpstr>CED_Sum</vt:lpstr>
      <vt:lpstr>CED_tr</vt:lpstr>
      <vt:lpstr>DBR_co_average</vt:lpstr>
      <vt:lpstr>DBR_CPU</vt:lpstr>
      <vt:lpstr>DBR_CPU_unit</vt:lpstr>
      <vt:lpstr>DBR_GPU</vt:lpstr>
      <vt:lpstr>DBR_GPU_unit</vt:lpstr>
      <vt:lpstr>DBR_me_average</vt:lpstr>
      <vt:lpstr>DBR_NW</vt:lpstr>
      <vt:lpstr>DBR_NW_unit</vt:lpstr>
      <vt:lpstr>DBR_RAM</vt:lpstr>
      <vt:lpstr>DBR_RAM_unit</vt:lpstr>
      <vt:lpstr>DBR_SSDHDD</vt:lpstr>
      <vt:lpstr>DBR_SSDHDD_unit</vt:lpstr>
      <vt:lpstr>DBR_st_average</vt:lpstr>
      <vt:lpstr>DBR_tr_average</vt:lpstr>
      <vt:lpstr>DW_co</vt:lpstr>
      <vt:lpstr>DW_me</vt:lpstr>
      <vt:lpstr>DW_st</vt:lpstr>
      <vt:lpstr>DW_SW_co</vt:lpstr>
      <vt:lpstr>DW_SW_me</vt:lpstr>
      <vt:lpstr>DW_SW_st</vt:lpstr>
      <vt:lpstr>DW_SW_tr</vt:lpstr>
      <vt:lpstr>DW_tr</vt:lpstr>
      <vt:lpstr>E_co</vt:lpstr>
      <vt:lpstr>E_me</vt:lpstr>
      <vt:lpstr>E_st</vt:lpstr>
      <vt:lpstr>E_tr</vt:lpstr>
      <vt:lpstr>EBR_ADP_co</vt:lpstr>
      <vt:lpstr>EBR_ADP_me</vt:lpstr>
      <vt:lpstr>EBR_ADP_st</vt:lpstr>
      <vt:lpstr>EBR_ADP_tr</vt:lpstr>
      <vt:lpstr>EBR_CED_co</vt:lpstr>
      <vt:lpstr>EBR_CED_me</vt:lpstr>
      <vt:lpstr>EBR_CED_st</vt:lpstr>
      <vt:lpstr>EBR_CED_tr</vt:lpstr>
      <vt:lpstr>EBR_GWP_co</vt:lpstr>
      <vt:lpstr>EBR_GWP_me</vt:lpstr>
      <vt:lpstr>EBR_GWP_st</vt:lpstr>
      <vt:lpstr>EBR_GWP_tr</vt:lpstr>
      <vt:lpstr>EBR_P_co</vt:lpstr>
      <vt:lpstr>EBR_P_me</vt:lpstr>
      <vt:lpstr>EBR_P_st</vt:lpstr>
      <vt:lpstr>EBR_P_tr</vt:lpstr>
      <vt:lpstr>EBR_TOX_co</vt:lpstr>
      <vt:lpstr>EBR_TOX_me</vt:lpstr>
      <vt:lpstr>EBR_TOX_st</vt:lpstr>
      <vt:lpstr>EBR_TOX_tr</vt:lpstr>
      <vt:lpstr>EBR_Water_co</vt:lpstr>
      <vt:lpstr>EBR_Water_me</vt:lpstr>
      <vt:lpstr>EBR_Water_st</vt:lpstr>
      <vt:lpstr>EBR_Water_tr</vt:lpstr>
      <vt:lpstr>EBR_WEEE_co</vt:lpstr>
      <vt:lpstr>EBR_WEEE_me</vt:lpstr>
      <vt:lpstr>EBR_WEEE_st</vt:lpstr>
      <vt:lpstr>EBR_WEEE_tr</vt:lpstr>
      <vt:lpstr>EF_ADP</vt:lpstr>
      <vt:lpstr>EF_CED</vt:lpstr>
      <vt:lpstr>EF_GWP</vt:lpstr>
      <vt:lpstr>EF_TOX</vt:lpstr>
      <vt:lpstr>EF_Water</vt:lpstr>
      <vt:lpstr>EF_WEEE</vt:lpstr>
      <vt:lpstr>EI_ADP</vt:lpstr>
      <vt:lpstr>EI_ADP_co</vt:lpstr>
      <vt:lpstr>EI_ADP_co_embedded</vt:lpstr>
      <vt:lpstr>EI_ADP_co_usephase</vt:lpstr>
      <vt:lpstr>EI_ADP_me</vt:lpstr>
      <vt:lpstr>EI_ADP_me_embedded</vt:lpstr>
      <vt:lpstr>EI_ADP_me_usephase</vt:lpstr>
      <vt:lpstr>EI_ADP_st</vt:lpstr>
      <vt:lpstr>EI_ADP_st_embedded</vt:lpstr>
      <vt:lpstr>EI_ADP_st_usephase</vt:lpstr>
      <vt:lpstr>EI_ADP_tr</vt:lpstr>
      <vt:lpstr>EI_ADP_tr_embedded</vt:lpstr>
      <vt:lpstr>EI_ADP_tr_usephase</vt:lpstr>
      <vt:lpstr>EI_CED</vt:lpstr>
      <vt:lpstr>EI_CED_co</vt:lpstr>
      <vt:lpstr>EI_CED_co_embedded</vt:lpstr>
      <vt:lpstr>EI_CED_co_usephase</vt:lpstr>
      <vt:lpstr>EI_CED_me</vt:lpstr>
      <vt:lpstr>EI_CED_me_embedded</vt:lpstr>
      <vt:lpstr>EI_CED_me_usephase</vt:lpstr>
      <vt:lpstr>EI_CED_st</vt:lpstr>
      <vt:lpstr>EI_CED_st_embedded</vt:lpstr>
      <vt:lpstr>EI_CED_st_usephase</vt:lpstr>
      <vt:lpstr>EI_CED_tr</vt:lpstr>
      <vt:lpstr>EI_CED_tr_embedded</vt:lpstr>
      <vt:lpstr>EI_CED_tr_usephase</vt:lpstr>
      <vt:lpstr>EI_GWP</vt:lpstr>
      <vt:lpstr>EI_GWP_co</vt:lpstr>
      <vt:lpstr>EI_GWP_co_embedded</vt:lpstr>
      <vt:lpstr>EI_GWP_co_usephase</vt:lpstr>
      <vt:lpstr>EI_GWP_me</vt:lpstr>
      <vt:lpstr>EI_GWP_me_embedded</vt:lpstr>
      <vt:lpstr>EI_GWP_me_usephase</vt:lpstr>
      <vt:lpstr>EI_GWP_st</vt:lpstr>
      <vt:lpstr>EI_GWP_st_embedded</vt:lpstr>
      <vt:lpstr>EI_GWP_st_usephase</vt:lpstr>
      <vt:lpstr>EI_GWP_tr</vt:lpstr>
      <vt:lpstr>EI_GWP_tr_embedded</vt:lpstr>
      <vt:lpstr>EI_GWP_tr_usephase</vt:lpstr>
      <vt:lpstr>EI_TOX</vt:lpstr>
      <vt:lpstr>EI_TOX_co</vt:lpstr>
      <vt:lpstr>EI_TOX_co_embedded</vt:lpstr>
      <vt:lpstr>EI_TOX_co_usephase</vt:lpstr>
      <vt:lpstr>EI_TOX_me</vt:lpstr>
      <vt:lpstr>EI_TOX_me_embedded</vt:lpstr>
      <vt:lpstr>EI_TOX_me_usephase</vt:lpstr>
      <vt:lpstr>EI_TOX_st</vt:lpstr>
      <vt:lpstr>EI_TOX_st_embedded</vt:lpstr>
      <vt:lpstr>EI_TOX_st_usephase</vt:lpstr>
      <vt:lpstr>EI_TOX_tr</vt:lpstr>
      <vt:lpstr>EI_TOX_tr_embedded</vt:lpstr>
      <vt:lpstr>EI_TOX_tr_usephase</vt:lpstr>
      <vt:lpstr>EI_Water</vt:lpstr>
      <vt:lpstr>EI_Water_co</vt:lpstr>
      <vt:lpstr>EI_Water_co_embedded</vt:lpstr>
      <vt:lpstr>EI_Water_co_usephase</vt:lpstr>
      <vt:lpstr>EI_Water_me</vt:lpstr>
      <vt:lpstr>EI_Water_me_embedded</vt:lpstr>
      <vt:lpstr>EI_Water_me_usephase</vt:lpstr>
      <vt:lpstr>EI_Water_st</vt:lpstr>
      <vt:lpstr>EI_Water_st_embedded</vt:lpstr>
      <vt:lpstr>EI_Water_st_usephase</vt:lpstr>
      <vt:lpstr>EI_Water_tr</vt:lpstr>
      <vt:lpstr>EI_Water_tr_embedded</vt:lpstr>
      <vt:lpstr>EI_Water_tr_usephase</vt:lpstr>
      <vt:lpstr>EI_WEEE</vt:lpstr>
      <vt:lpstr>EI_WEEE_co</vt:lpstr>
      <vt:lpstr>EI_WEEE_co_embedded</vt:lpstr>
      <vt:lpstr>EI_WEEE_co_usephase</vt:lpstr>
      <vt:lpstr>EI_WEEE_me</vt:lpstr>
      <vt:lpstr>EI_WEEE_me_embedded</vt:lpstr>
      <vt:lpstr>EI_WEEE_me_usephase</vt:lpstr>
      <vt:lpstr>EI_WEEE_st</vt:lpstr>
      <vt:lpstr>EI_WEEE_st_embedded</vt:lpstr>
      <vt:lpstr>EI_WEEE_st_usephase</vt:lpstr>
      <vt:lpstr>EI_WEEE_tr</vt:lpstr>
      <vt:lpstr>EI_WEEE_tr_embedded</vt:lpstr>
      <vt:lpstr>EI_WEEE_tr_usephase</vt:lpstr>
      <vt:lpstr>GWP_AssTest</vt:lpstr>
      <vt:lpstr>GWP_Chassis</vt:lpstr>
      <vt:lpstr>GWP_co</vt:lpstr>
      <vt:lpstr>GWP_CPU</vt:lpstr>
      <vt:lpstr>GWP_el</vt:lpstr>
      <vt:lpstr>GWP_GPU</vt:lpstr>
      <vt:lpstr>GWP_HDD</vt:lpstr>
      <vt:lpstr>GWP_me</vt:lpstr>
      <vt:lpstr>GWP_PCB</vt:lpstr>
      <vt:lpstr>GWP_Ports</vt:lpstr>
      <vt:lpstr>GWP_PSUetc</vt:lpstr>
      <vt:lpstr>GWP_RAM</vt:lpstr>
      <vt:lpstr>GWP_SSD</vt:lpstr>
      <vt:lpstr>GWP_st</vt:lpstr>
      <vt:lpstr>GWP_Sum</vt:lpstr>
      <vt:lpstr>GWP_tr</vt:lpstr>
      <vt:lpstr>Lifetime</vt:lpstr>
      <vt:lpstr>Load_av_SW_gross_CPU</vt:lpstr>
      <vt:lpstr>Load_av_SW_gross_GPU</vt:lpstr>
      <vt:lpstr>Load_av_SW_gross_NW</vt:lpstr>
      <vt:lpstr>Load_av_SW_gross_RAM</vt:lpstr>
      <vt:lpstr>Load_av_SW_gross_SSDHDD</vt:lpstr>
      <vt:lpstr>Load_av_SW_net_CPU</vt:lpstr>
      <vt:lpstr>Load_av_SW_net_GPU</vt:lpstr>
      <vt:lpstr>Load_av_SW_net_NW</vt:lpstr>
      <vt:lpstr>Load_av_SW_net_RAM</vt:lpstr>
      <vt:lpstr>Load_av_SW_net_SSDHDD</vt:lpstr>
      <vt:lpstr>Load_average_CPU</vt:lpstr>
      <vt:lpstr>Load_average_GPU</vt:lpstr>
      <vt:lpstr>Load_average_NW</vt:lpstr>
      <vt:lpstr>Load_average_RAM</vt:lpstr>
      <vt:lpstr>Load_average_SSDHDD</vt:lpstr>
      <vt:lpstr>Load_idle_CPU</vt:lpstr>
      <vt:lpstr>Load_idle_GPU</vt:lpstr>
      <vt:lpstr>Load_idle_NW</vt:lpstr>
      <vt:lpstr>Load_idle_RAM</vt:lpstr>
      <vt:lpstr>Load_idle_SSDHDD</vt:lpstr>
      <vt:lpstr>P_average_CPU</vt:lpstr>
      <vt:lpstr>P_average_GPU</vt:lpstr>
      <vt:lpstr>P_average_HDD</vt:lpstr>
      <vt:lpstr>P_average_NW</vt:lpstr>
      <vt:lpstr>P_average_RAM</vt:lpstr>
      <vt:lpstr>P_average_SSD</vt:lpstr>
      <vt:lpstr>P_average_total</vt:lpstr>
      <vt:lpstr>P_brutto_average_co</vt:lpstr>
      <vt:lpstr>P_brutto_average_CPU</vt:lpstr>
      <vt:lpstr>P_brutto_average_GPU</vt:lpstr>
      <vt:lpstr>P_brutto_average_HDD</vt:lpstr>
      <vt:lpstr>P_brutto_average_me</vt:lpstr>
      <vt:lpstr>P_brutto_average_NW</vt:lpstr>
      <vt:lpstr>P_brutto_average_RAM</vt:lpstr>
      <vt:lpstr>P_brutto_average_SSD</vt:lpstr>
      <vt:lpstr>P_brutto_average_st</vt:lpstr>
      <vt:lpstr>P_brutto_average_tr</vt:lpstr>
      <vt:lpstr>P_idle_CPU</vt:lpstr>
      <vt:lpstr>P_idle_GPU</vt:lpstr>
      <vt:lpstr>P_idle_HDD</vt:lpstr>
      <vt:lpstr>P_idle_NW</vt:lpstr>
      <vt:lpstr>P_idle_RAM</vt:lpstr>
      <vt:lpstr>P_idle_SSD</vt:lpstr>
      <vt:lpstr>P_idle_total</vt:lpstr>
      <vt:lpstr>P_max_CPU</vt:lpstr>
      <vt:lpstr>P_max_GPU</vt:lpstr>
      <vt:lpstr>P_max_HDD</vt:lpstr>
      <vt:lpstr>P_max_NW</vt:lpstr>
      <vt:lpstr>P_max_RAM</vt:lpstr>
      <vt:lpstr>P_max_SSD</vt:lpstr>
      <vt:lpstr>P_max_total</vt:lpstr>
      <vt:lpstr>Platform_ID</vt:lpstr>
      <vt:lpstr>SVHC_Score</vt:lpstr>
      <vt:lpstr>time_execution</vt:lpstr>
      <vt:lpstr>TOX_AssTest</vt:lpstr>
      <vt:lpstr>TOX_Chassis</vt:lpstr>
      <vt:lpstr>TOX_co</vt:lpstr>
      <vt:lpstr>TOX_CPU</vt:lpstr>
      <vt:lpstr>TOX_el</vt:lpstr>
      <vt:lpstr>TOX_GPU</vt:lpstr>
      <vt:lpstr>TOX_HDD</vt:lpstr>
      <vt:lpstr>TOX_me</vt:lpstr>
      <vt:lpstr>TOX_PCB</vt:lpstr>
      <vt:lpstr>TOX_Ports</vt:lpstr>
      <vt:lpstr>TOX_PSUetc</vt:lpstr>
      <vt:lpstr>TOX_RAM</vt:lpstr>
      <vt:lpstr>TOX_SSD</vt:lpstr>
      <vt:lpstr>TOX_st</vt:lpstr>
      <vt:lpstr>TOX_Sum</vt:lpstr>
      <vt:lpstr>TOX_tr</vt:lpstr>
      <vt:lpstr>Water_AssTest</vt:lpstr>
      <vt:lpstr>Water_Chassis</vt:lpstr>
      <vt:lpstr>Water_co</vt:lpstr>
      <vt:lpstr>Water_CPU</vt:lpstr>
      <vt:lpstr>Water_el</vt:lpstr>
      <vt:lpstr>Water_GPU</vt:lpstr>
      <vt:lpstr>Water_HDD</vt:lpstr>
      <vt:lpstr>Water_me</vt:lpstr>
      <vt:lpstr>Water_PCB</vt:lpstr>
      <vt:lpstr>Water_Ports</vt:lpstr>
      <vt:lpstr>Water_PSUetc</vt:lpstr>
      <vt:lpstr>Water_RAM</vt:lpstr>
      <vt:lpstr>Water_SSD</vt:lpstr>
      <vt:lpstr>Water_st</vt:lpstr>
      <vt:lpstr>Water_Sum</vt:lpstr>
      <vt:lpstr>Water_tr</vt:lpstr>
      <vt:lpstr>WEEE_AssTest</vt:lpstr>
      <vt:lpstr>WEEE_Chassis</vt:lpstr>
      <vt:lpstr>WEEE_co</vt:lpstr>
      <vt:lpstr>WEEE_CPU</vt:lpstr>
      <vt:lpstr>WEEE_el</vt:lpstr>
      <vt:lpstr>WEEE_GPU</vt:lpstr>
      <vt:lpstr>WEEE_HDD</vt:lpstr>
      <vt:lpstr>WEEE_me</vt:lpstr>
      <vt:lpstr>WEEE_PCB</vt:lpstr>
      <vt:lpstr>WEEE_Ports</vt:lpstr>
      <vt:lpstr>WEEE_PSUetc</vt:lpstr>
      <vt:lpstr>WEEE_RAM</vt:lpstr>
      <vt:lpstr>WEEE_SSD</vt:lpstr>
      <vt:lpstr>WEEE_st</vt:lpstr>
      <vt:lpstr>WEEE_Sum</vt:lpstr>
      <vt:lpstr>WEEE_tr</vt:lpstr>
      <vt:lpstr>z_ADP_compute</vt:lpstr>
      <vt:lpstr>z_ADP_memorize</vt:lpstr>
      <vt:lpstr>z_ADP_store</vt:lpstr>
      <vt:lpstr>z_ADP_transfer</vt:lpstr>
      <vt:lpstr>z_CED_compute</vt:lpstr>
      <vt:lpstr>z_CED_memorize</vt:lpstr>
      <vt:lpstr>z_CED_store</vt:lpstr>
      <vt:lpstr>z_CED_transfer</vt:lpstr>
      <vt:lpstr>z_CPU</vt:lpstr>
      <vt:lpstr>z_GPU</vt:lpstr>
      <vt:lpstr>z_GWP_compute</vt:lpstr>
      <vt:lpstr>z_GWP_memorize</vt:lpstr>
      <vt:lpstr>z_GWP_store</vt:lpstr>
      <vt:lpstr>z_GWP_transfer</vt:lpstr>
      <vt:lpstr>z_HDD</vt:lpstr>
      <vt:lpstr>z_NW</vt:lpstr>
      <vt:lpstr>z_RAM</vt:lpstr>
      <vt:lpstr>z_SSD</vt:lpstr>
      <vt:lpstr>z_TOX_compute</vt:lpstr>
      <vt:lpstr>z_TOX_memorize</vt:lpstr>
      <vt:lpstr>z_TOX_store</vt:lpstr>
      <vt:lpstr>z_TOX_transfer</vt:lpstr>
      <vt:lpstr>z_Water_compute</vt:lpstr>
      <vt:lpstr>z_Water_memorize</vt:lpstr>
      <vt:lpstr>z_Water_store</vt:lpstr>
      <vt:lpstr>z_Water_transfer</vt:lpstr>
      <vt:lpstr>z_WEEE_compute</vt:lpstr>
      <vt:lpstr>z_WEEE_memorize</vt:lpstr>
      <vt:lpstr>z_WEEE_store</vt:lpstr>
      <vt:lpstr>z_WEEE_transfer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Jens Gröger</dc:creator>
  <cp:lastModifiedBy>Markus Werz</cp:lastModifiedBy>
  <dcterms:created xsi:type="dcterms:W3CDTF">2024-10-02T06:31:09Z</dcterms:created>
  <dcterms:modified xsi:type="dcterms:W3CDTF">2024-10-14T09:46:01Z</dcterms:modified>
</cp:coreProperties>
</file>